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erena.petersen\Desktop\"/>
    </mc:Choice>
  </mc:AlternateContent>
  <workbookProtection workbookAlgorithmName="SHA-512" workbookHashValue="IUsat8xBPbdzfkodKkr5l+2SCFQhGw5qRBG+Xu9ZtAaxG5uVcuuZGb4E9jBi39jZIDZXhwmQkh8eaaITjbq5XA==" workbookSaltValue="P8a/TNN3eH3L3ETFPmT9iw==" workbookSpinCount="100000" lockStructure="1"/>
  <bookViews>
    <workbookView xWindow="0" yWindow="0" windowWidth="25200" windowHeight="11985" tabRatio="876" activeTab="13"/>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data'!$A$1:$L$4342</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91028" fullPrecision="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7" i="24" l="1"/>
  <c r="G119" i="21" l="1"/>
  <c r="G38" i="21"/>
  <c r="D12" i="20" l="1"/>
  <c r="D11" i="20"/>
  <c r="T29" i="6" l="1"/>
  <c r="T6" i="6" l="1"/>
  <c r="F10" i="12" l="1"/>
  <c r="J38" i="4" l="1"/>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6" i="18"/>
  <c r="E12" i="18"/>
  <c r="E11" i="18"/>
  <c r="E10" i="18"/>
  <c r="E9" i="18"/>
  <c r="E5" i="18"/>
  <c r="E4" i="18"/>
  <c r="E3" i="18"/>
  <c r="E2" i="18"/>
  <c r="Y21" i="21"/>
  <c r="Y20" i="21"/>
  <c r="Y19" i="21"/>
  <c r="Y18" i="21"/>
  <c r="Y17" i="21"/>
  <c r="Y16" i="21"/>
  <c r="Y15" i="21"/>
  <c r="Y14" i="21"/>
  <c r="Y13" i="21"/>
  <c r="Y12" i="21"/>
  <c r="Y11" i="21"/>
  <c r="Y10" i="21"/>
  <c r="Y9" i="21"/>
  <c r="Y8" i="21"/>
  <c r="Y7" i="21"/>
  <c r="Y6" i="21"/>
  <c r="Y5" i="21"/>
  <c r="Y4" i="21"/>
  <c r="A11" i="17"/>
  <c r="B11" i="17" s="1"/>
  <c r="B3" i="20"/>
  <c r="B2" i="20"/>
  <c r="C7" i="20" s="1"/>
  <c r="B1" i="20"/>
  <c r="D39" i="25"/>
  <c r="N15" i="24" s="1"/>
  <c r="C39" i="25"/>
  <c r="L1" i="25"/>
  <c r="H1" i="25"/>
  <c r="C1" i="25"/>
  <c r="J18" i="24"/>
  <c r="I18" i="24"/>
  <c r="I1" i="24"/>
  <c r="F1" i="24"/>
  <c r="B1" i="24"/>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0" i="4"/>
  <c r="I23" i="24" s="1"/>
  <c r="L40" i="4"/>
  <c r="J23" i="24" s="1"/>
  <c r="I40" i="4"/>
  <c r="F23" i="24" s="1"/>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L23" i="4"/>
  <c r="L42" i="4" s="1"/>
  <c r="I23" i="4"/>
  <c r="I42" i="4" s="1"/>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K11" i="4"/>
  <c r="H11" i="4"/>
  <c r="G11" i="4"/>
  <c r="K10" i="4"/>
  <c r="H10" i="4"/>
  <c r="G10" i="4"/>
  <c r="K9" i="4"/>
  <c r="H9" i="4"/>
  <c r="G9" i="4"/>
  <c r="AC8" i="4"/>
  <c r="K8" i="4"/>
  <c r="H8" i="4"/>
  <c r="G8" i="4"/>
  <c r="AC7" i="4"/>
  <c r="K7" i="4"/>
  <c r="H7" i="4"/>
  <c r="G7" i="4"/>
  <c r="AC6" i="4"/>
  <c r="K6" i="4"/>
  <c r="H6" i="4"/>
  <c r="G6" i="4"/>
  <c r="N1" i="4"/>
  <c r="H1" i="4"/>
  <c r="B1" i="4"/>
  <c r="T23" i="5"/>
  <c r="D19" i="5"/>
  <c r="AA11" i="5"/>
  <c r="AA12" i="5" s="1"/>
  <c r="Q11" i="5"/>
  <c r="P11" i="5"/>
  <c r="O11" i="5"/>
  <c r="N11" i="5"/>
  <c r="M11" i="5"/>
  <c r="R11" i="5" s="1"/>
  <c r="L11" i="5"/>
  <c r="K11" i="5"/>
  <c r="J11" i="5"/>
  <c r="I11" i="5"/>
  <c r="H11" i="5"/>
  <c r="G11" i="5"/>
  <c r="F11" i="5"/>
  <c r="E11" i="5"/>
  <c r="R10" i="5"/>
  <c r="AA9" i="5"/>
  <c r="R9" i="5"/>
  <c r="AA8" i="5"/>
  <c r="R8" i="5"/>
  <c r="V1" i="5"/>
  <c r="L1" i="5"/>
  <c r="D1" i="5"/>
  <c r="G39" i="6"/>
  <c r="G41" i="6" s="1"/>
  <c r="F29" i="6"/>
  <c r="G20" i="6"/>
  <c r="G11" i="6"/>
  <c r="F11" i="6"/>
  <c r="AA9" i="6"/>
  <c r="AA8" i="6"/>
  <c r="AA7"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G18" i="23" l="1" a="1"/>
  <c r="G18" i="23" s="1"/>
  <c r="G19" i="23" s="1"/>
  <c r="G43" i="23"/>
  <c r="H45" i="23" s="1"/>
  <c r="M42" i="4"/>
  <c r="AC11" i="4"/>
  <c r="J22" i="24"/>
  <c r="I22" i="24"/>
  <c r="F22" i="24"/>
  <c r="I11" i="12"/>
  <c r="E481" i="18"/>
  <c r="F21" i="15" s="1"/>
  <c r="H43" i="8"/>
  <c r="AA13" i="15"/>
  <c r="AA14" i="15" s="1"/>
  <c r="D18" i="23" a="1"/>
  <c r="D18" i="23" s="1"/>
  <c r="D19" i="23" s="1"/>
  <c r="E1449" i="18"/>
  <c r="F18" i="23" a="1"/>
  <c r="F18" i="23" s="1"/>
  <c r="F19" i="23" s="1"/>
  <c r="AA10" i="6"/>
  <c r="D19" i="24"/>
  <c r="F18" i="12"/>
  <c r="E636" i="18"/>
  <c r="G11" i="15" s="1"/>
  <c r="E692" i="18"/>
  <c r="G19" i="15" s="1"/>
  <c r="E1014" i="18"/>
  <c r="H21" i="15" s="1"/>
  <c r="E64" i="18"/>
  <c r="D19" i="15" s="1"/>
  <c r="E1109" i="18"/>
  <c r="H10" i="8"/>
  <c r="L10" i="8" s="1"/>
  <c r="F42" i="4"/>
  <c r="H19" i="24"/>
  <c r="F19" i="12"/>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L14" i="7" s="1"/>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J7" i="7"/>
  <c r="L6" i="7" s="1"/>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L12" i="7" s="1"/>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E50" i="15" s="1"/>
  <c r="J18" i="7"/>
  <c r="L18" i="7" s="1"/>
  <c r="E23" i="7"/>
  <c r="J9" i="7"/>
  <c r="L8" i="7" s="1"/>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I17" i="15" l="1"/>
  <c r="I23" i="15" s="1"/>
  <c r="J16" i="15"/>
  <c r="E17" i="15"/>
  <c r="E23" i="15" s="1"/>
  <c r="E48" i="15"/>
  <c r="F20" i="12"/>
  <c r="K19" i="24"/>
  <c r="I42" i="7"/>
  <c r="I48" i="7" s="1"/>
  <c r="L21" i="7"/>
  <c r="H42" i="7"/>
  <c r="G42" i="4"/>
  <c r="J14" i="15"/>
  <c r="G17" i="15"/>
  <c r="G23" i="15" s="1"/>
  <c r="H42" i="4"/>
  <c r="K42" i="4"/>
  <c r="J47" i="7" s="1"/>
  <c r="L47" i="7" s="1"/>
  <c r="K23" i="24"/>
  <c r="J26" i="15"/>
  <c r="K22" i="24"/>
  <c r="J15" i="15"/>
  <c r="F17" i="15"/>
  <c r="F23" i="15" s="1"/>
  <c r="H17" i="15"/>
  <c r="N23" i="4"/>
  <c r="J19" i="15"/>
  <c r="L41" i="7"/>
  <c r="L40" i="7"/>
  <c r="D21" i="24"/>
  <c r="D18" i="24"/>
  <c r="F29" i="22"/>
  <c r="E1534" i="18"/>
  <c r="J24" i="15"/>
  <c r="G42" i="7"/>
  <c r="D20" i="24"/>
  <c r="G12" i="24"/>
  <c r="N40" i="4"/>
  <c r="J42" i="4"/>
  <c r="J45" i="7"/>
  <c r="L45" i="7" s="1"/>
  <c r="J37" i="7"/>
  <c r="H12" i="24" s="1"/>
  <c r="F42" i="7"/>
  <c r="J21" i="15"/>
  <c r="O22" i="14"/>
  <c r="O26" i="14" s="1"/>
  <c r="H20" i="24" s="1"/>
  <c r="J22" i="15"/>
  <c r="J18" i="15"/>
  <c r="L39" i="7"/>
  <c r="J43" i="7"/>
  <c r="E1036" i="18"/>
  <c r="H25" i="15" s="1"/>
  <c r="E42" i="7"/>
  <c r="D42" i="7"/>
  <c r="K13" i="22"/>
  <c r="F30" i="22" s="1"/>
  <c r="J13" i="15"/>
  <c r="E629" i="18"/>
  <c r="F24" i="15" s="1"/>
  <c r="E1369" i="18"/>
  <c r="J46" i="7"/>
  <c r="L46" i="7" s="1"/>
  <c r="J23" i="7"/>
  <c r="L23" i="7" s="1"/>
  <c r="D17" i="15"/>
  <c r="D23" i="15" s="1"/>
  <c r="L13" i="7"/>
  <c r="O44" i="14"/>
  <c r="O48" i="14" s="1"/>
  <c r="P48" i="14" s="1"/>
  <c r="E721" i="18"/>
  <c r="G25" i="15" s="1"/>
  <c r="L24" i="7"/>
  <c r="E1505" i="18"/>
  <c r="E198" i="18"/>
  <c r="E25" i="15" s="1"/>
  <c r="L38" i="7"/>
  <c r="E93" i="18"/>
  <c r="D25" i="15" s="1"/>
  <c r="E1201" i="18"/>
  <c r="I25" i="15" s="1"/>
  <c r="E563" i="18"/>
  <c r="N19" i="23"/>
  <c r="F45" i="23" s="1"/>
  <c r="F46" i="23" s="1"/>
  <c r="J11" i="15"/>
  <c r="N18" i="23"/>
  <c r="E42" i="4"/>
  <c r="K48" i="7"/>
  <c r="J17" i="15" l="1"/>
  <c r="J23" i="15" s="1"/>
  <c r="N42" i="4"/>
  <c r="H23" i="15"/>
  <c r="L37" i="7"/>
  <c r="D17" i="24"/>
  <c r="K17" i="24" s="1"/>
  <c r="P26" i="14"/>
  <c r="F31" i="22"/>
  <c r="K20" i="24"/>
  <c r="O30" i="23"/>
  <c r="H18" i="24"/>
  <c r="K18" i="24" s="1"/>
  <c r="F25" i="15"/>
  <c r="N30" i="23"/>
  <c r="H11" i="24"/>
  <c r="Q34" i="2"/>
  <c r="L43" i="7"/>
  <c r="J25" i="15"/>
  <c r="J42" i="7"/>
  <c r="L42" i="7" s="1"/>
  <c r="H21" i="24"/>
  <c r="K21" i="24" s="1"/>
  <c r="M30" i="23"/>
  <c r="L30" i="23"/>
  <c r="P30" i="23"/>
  <c r="Q33" i="2" l="1"/>
  <c r="C11" i="25"/>
  <c r="C21" i="25" s="1"/>
  <c r="J48" i="7"/>
  <c r="A16" i="17" s="1"/>
  <c r="B16" i="17" s="1"/>
  <c r="A4" i="17" l="1"/>
  <c r="B4" i="17" s="1"/>
  <c r="M12" i="22"/>
  <c r="B14" i="2" s="1"/>
  <c r="A13" i="17"/>
  <c r="B13" i="17" s="1"/>
  <c r="A14" i="17"/>
  <c r="B14" i="17" s="1"/>
  <c r="B15" i="17"/>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A1" i="17" l="1"/>
  <c r="L2" i="2"/>
  <c r="L4"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<sst xmlns="http://schemas.openxmlformats.org/spreadsheetml/2006/main" count="4575" uniqueCount="1512">
  <si>
    <t>Charter school</t>
  </si>
  <si>
    <t>County</t>
  </si>
  <si>
    <t>CTDS number</t>
  </si>
  <si>
    <t>File origination date:</t>
  </si>
  <si>
    <t>Charter name</t>
  </si>
  <si>
    <t>d.b.a. (as applicable)</t>
  </si>
  <si>
    <t>State of Arizona</t>
  </si>
  <si>
    <t>Charter School Annual Financial Report</t>
  </si>
  <si>
    <t>Education's website on</t>
  </si>
  <si>
    <t xml:space="preserve">contain(s) the data for the annual financial report </t>
  </si>
  <si>
    <t>described at left.</t>
  </si>
  <si>
    <t>Charter school official signature</t>
  </si>
  <si>
    <t>Email</t>
  </si>
  <si>
    <t>Charter school official (typed name)</t>
  </si>
  <si>
    <t>Total expenses by project</t>
  </si>
  <si>
    <t>1. Schoolwide and Other Special Projects (from page 2, line 33)</t>
  </si>
  <si>
    <t>$</t>
  </si>
  <si>
    <t>Signed</t>
  </si>
  <si>
    <t>Title</t>
  </si>
  <si>
    <t>2. Classroom Site Project (from page 2, line 34)</t>
  </si>
  <si>
    <t xml:space="preserve"> </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</si>
  <si>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</si>
  <si>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</si>
  <si>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</si>
  <si>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</si>
  <si>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</si>
  <si>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</si>
  <si>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</si>
  <si>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</si>
  <si>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</si>
  <si>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</si>
  <si>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</si>
  <si>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</si>
  <si>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</si>
  <si>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</si>
  <si>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</si>
  <si>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</si>
  <si>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</si>
  <si>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</si>
  <si>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</si>
  <si>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</si>
  <si>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</si>
  <si>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</si>
  <si>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</si>
  <si>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</si>
  <si>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12.</t>
  </si>
  <si>
    <t xml:space="preserve">    1920  Contributions and donations from private sources</t>
  </si>
  <si>
    <t>13.</t>
  </si>
  <si>
    <t xml:space="preserve">    Other revenue from local sources (specify)</t>
  </si>
  <si>
    <t>14.</t>
  </si>
  <si>
    <t>2000 Intermediate sources</t>
  </si>
  <si>
    <t>15.</t>
  </si>
  <si>
    <t xml:space="preserve">    2100  Unrestricted</t>
  </si>
  <si>
    <t>16.</t>
  </si>
  <si>
    <t xml:space="preserve">    2200  Restricted</t>
  </si>
  <si>
    <t>17.</t>
  </si>
  <si>
    <t xml:space="preserve">    Other revenue from intermediate sources (specify)</t>
  </si>
  <si>
    <t>18.</t>
  </si>
  <si>
    <t>3000 State sources</t>
  </si>
  <si>
    <t>19.</t>
  </si>
  <si>
    <t xml:space="preserve">    3110  State Equalization Assistance</t>
  </si>
  <si>
    <t>20.</t>
  </si>
  <si>
    <t xml:space="preserve">    3130-3150  Other unrestricted</t>
  </si>
  <si>
    <t>21.</t>
  </si>
  <si>
    <t xml:space="preserve">    3200  Restricted</t>
  </si>
  <si>
    <t>22.</t>
  </si>
  <si>
    <t xml:space="preserve">    3900  Revenue for/on behalf of the school</t>
  </si>
  <si>
    <t>23.</t>
  </si>
  <si>
    <t xml:space="preserve">    Other revenue from State sources (specify)</t>
  </si>
  <si>
    <t>24.</t>
  </si>
  <si>
    <t>4000 Federal sources</t>
  </si>
  <si>
    <t>25.</t>
  </si>
  <si>
    <t xml:space="preserve">    4100, 4300  Unrestricted/restricted received directly from the federal government</t>
  </si>
  <si>
    <t>26.</t>
  </si>
  <si>
    <t xml:space="preserve">    4200, 4500  Unrestricted/restricted received from the federal government through the State</t>
  </si>
  <si>
    <t>27.</t>
  </si>
  <si>
    <t xml:space="preserve">    4700 Revenue received from the federal government through other intermediate agencies</t>
  </si>
  <si>
    <t>28.</t>
  </si>
  <si>
    <t xml:space="preserve">    4800 Federal impact aid</t>
  </si>
  <si>
    <t>29.</t>
  </si>
  <si>
    <t xml:space="preserve">    4900 Revenue for/on behalf of the school</t>
  </si>
  <si>
    <t>30.</t>
  </si>
  <si>
    <t xml:space="preserve">    Other revenue from federal sources (specify)</t>
  </si>
  <si>
    <t>31.</t>
  </si>
  <si>
    <t>32.</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</si>
  <si>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</si>
  <si>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</si>
  <si>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</si>
  <si>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</si>
  <si>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</si>
  <si>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</si>
  <si>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</si>
  <si>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</si>
  <si>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</si>
  <si>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</si>
  <si>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</si>
  <si>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</si>
  <si>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</si>
  <si>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</si>
  <si>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</si>
  <si>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</si>
  <si>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</si>
  <si>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</si>
  <si>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</si>
  <si>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</si>
  <si>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</si>
  <si>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</si>
  <si>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</si>
  <si>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</si>
  <si>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</si>
  <si>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</si>
  <si>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</si>
  <si>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</si>
  <si>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</si>
  <si>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</si>
  <si>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</si>
  <si>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</si>
  <si>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</si>
  <si>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</si>
  <si>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</si>
  <si>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</si>
  <si>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</si>
  <si>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</si>
  <si>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</si>
  <si>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</si>
  <si>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</si>
  <si>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</si>
  <si>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</si>
  <si>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</si>
  <si>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</si>
  <si>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</si>
  <si>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</si>
  <si>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</si>
  <si>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</si>
  <si>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</si>
  <si>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</si>
  <si>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</si>
  <si>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33.</t>
  </si>
  <si>
    <t>34.</t>
  </si>
  <si>
    <t xml:space="preserve">Instructional Improvement Project </t>
  </si>
  <si>
    <t>35.</t>
  </si>
  <si>
    <t>English Language Learner Project (from page 5, line 14)</t>
  </si>
  <si>
    <t>36.</t>
  </si>
  <si>
    <t>Compensatory Instruction Project (from page 5, line 28 )</t>
  </si>
  <si>
    <t>37.</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</si>
  <si>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</si>
  <si>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</si>
  <si>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</si>
  <si>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</si>
  <si>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</si>
  <si>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</si>
  <si>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</si>
  <si>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</si>
  <si>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</si>
  <si>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</si>
  <si>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</si>
  <si>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</si>
  <si>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</si>
  <si>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</si>
  <si>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</si>
  <si>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</si>
  <si>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</si>
  <si>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</si>
  <si>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</si>
  <si>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</si>
  <si>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Revenues</t>
  </si>
  <si>
    <t>Interest earned</t>
  </si>
  <si>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</si>
  <si>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</si>
  <si>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</si>
  <si>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</si>
  <si>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</si>
  <si>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</si>
  <si>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</si>
  <si>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</si>
  <si>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</si>
  <si>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Expenses (line 5 above)</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</si>
  <si>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</si>
  <si>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</si>
  <si>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</si>
  <si>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</si>
  <si>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</si>
  <si>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</si>
  <si>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</si>
  <si>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</si>
  <si>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</si>
  <si>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</si>
  <si>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</si>
  <si>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</si>
  <si>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</si>
  <si>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</si>
  <si>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</si>
  <si>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</si>
  <si>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</si>
  <si>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</si>
  <si>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</si>
  <si>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</si>
  <si>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</si>
  <si>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</si>
  <si>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</si>
  <si>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</si>
  <si>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</si>
  <si>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</si>
  <si>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</si>
  <si>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</si>
  <si>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</si>
  <si>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</si>
  <si>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</si>
  <si>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</si>
  <si>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</si>
  <si>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</si>
  <si>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</si>
  <si>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</si>
  <si>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</si>
  <si>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</si>
  <si>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</si>
  <si>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</si>
  <si>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</si>
  <si>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</si>
  <si>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</si>
  <si>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</si>
  <si>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</si>
  <si>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</si>
  <si>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</si>
  <si>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</si>
  <si>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</si>
  <si>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</si>
  <si>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</si>
  <si>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</si>
  <si>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</si>
  <si>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</si>
  <si>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</si>
  <si>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</si>
  <si>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</si>
  <si>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</si>
  <si>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</si>
  <si>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</si>
  <si>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</si>
  <si>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</si>
  <si>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</si>
  <si>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</si>
  <si>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</si>
  <si>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</si>
  <si>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</si>
  <si>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</si>
  <si>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</si>
  <si>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</si>
  <si>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</si>
  <si>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</si>
  <si>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</si>
  <si>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</si>
  <si>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</si>
  <si>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</si>
  <si>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</si>
  <si>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</si>
  <si>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</si>
  <si>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</si>
  <si>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</si>
  <si>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</si>
  <si>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Other programs</t>
  </si>
  <si>
    <t>Cocurr. act., athletics, &amp; other (program 600)</t>
  </si>
  <si>
    <t xml:space="preserve">H. </t>
  </si>
  <si>
    <t>Average teacher salary (A.R.S. §15-189.05, as added by Laws 2018, Ch. 285, §3)</t>
  </si>
  <si>
    <t>7.     Total (lines 1-6)</t>
  </si>
  <si>
    <t>E.</t>
  </si>
  <si>
    <t>Current expenses by category</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</si>
  <si>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</si>
  <si>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</si>
  <si>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</si>
  <si>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</si>
  <si>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</si>
  <si>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</si>
  <si>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</si>
  <si>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</si>
  <si>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</si>
  <si>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</si>
  <si>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</si>
  <si>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</si>
  <si>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</si>
  <si>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</si>
  <si>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</si>
  <si>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</si>
  <si>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</si>
  <si>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</si>
  <si>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</si>
  <si>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</si>
  <si>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</si>
  <si>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</si>
  <si>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</si>
  <si>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</si>
  <si>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</si>
  <si>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</si>
  <si>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</si>
  <si>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</si>
  <si>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</si>
  <si>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</si>
  <si>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</si>
  <si>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</si>
  <si>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</si>
  <si>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</si>
  <si>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</si>
  <si>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</si>
  <si>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</si>
  <si>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</si>
  <si>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</si>
  <si>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</si>
  <si>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</si>
  <si>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</si>
  <si>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</si>
  <si>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</si>
  <si>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</si>
  <si>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</si>
  <si>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</si>
  <si>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</si>
  <si>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</si>
  <si>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</si>
  <si>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</si>
  <si>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</si>
  <si>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</si>
  <si>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</si>
  <si>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</si>
  <si>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</si>
  <si>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</si>
  <si>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</si>
  <si>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</si>
  <si>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</si>
  <si>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</si>
  <si>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</si>
  <si>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</si>
  <si>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</si>
  <si>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</si>
  <si>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</si>
  <si>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</si>
  <si>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</si>
  <si>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</si>
  <si>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</si>
  <si>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</si>
  <si>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</si>
  <si>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</si>
  <si>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</si>
  <si>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</si>
  <si>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</si>
  <si>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</si>
  <si>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</si>
  <si>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</si>
  <si>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</si>
  <si>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</si>
  <si>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</si>
  <si>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</si>
  <si>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</si>
  <si>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</si>
  <si>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</si>
  <si>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</si>
  <si>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</si>
  <si>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</si>
  <si>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</si>
  <si>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</si>
  <si>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</si>
  <si>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</si>
  <si>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</si>
  <si>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</si>
  <si>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</si>
  <si>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</si>
  <si>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</si>
  <si>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</si>
  <si>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</si>
  <si>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</si>
  <si>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</si>
  <si>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</si>
  <si>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</si>
  <si>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</si>
  <si>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</si>
  <si>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</si>
  <si>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</si>
  <si>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</si>
  <si>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</si>
  <si>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</si>
  <si>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</si>
  <si>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</si>
  <si>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</si>
  <si>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</si>
  <si>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</si>
  <si>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</si>
  <si>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</si>
  <si>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</si>
  <si>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</si>
  <si>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</si>
  <si>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</si>
  <si>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</si>
  <si>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Property disbursements by type</t>
  </si>
  <si>
    <t>All programs</t>
  </si>
  <si>
    <t xml:space="preserve">     1. Intangible assets</t>
  </si>
  <si>
    <t xml:space="preserve">     2. Land and land improvements</t>
  </si>
  <si>
    <t xml:space="preserve">     3. Buildings</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</si>
  <si>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</si>
  <si>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</si>
  <si>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</si>
  <si>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</si>
  <si>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</si>
  <si>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</si>
  <si>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</si>
  <si>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</si>
  <si>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</si>
  <si>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</si>
  <si>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</si>
  <si>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</si>
  <si>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</si>
  <si>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</si>
  <si>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</si>
  <si>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</si>
  <si>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</si>
  <si>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</si>
  <si>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</si>
  <si>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</si>
  <si>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</si>
  <si>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</si>
  <si>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</si>
  <si>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</si>
  <si>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</si>
  <si>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</si>
  <si>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</si>
  <si>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</si>
  <si>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</si>
  <si>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</si>
  <si>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</si>
  <si>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</si>
  <si>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</si>
  <si>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</si>
  <si>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</si>
  <si>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</si>
  <si>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</si>
  <si>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</si>
  <si>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</si>
  <si>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</si>
  <si>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</si>
  <si>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</si>
  <si>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</si>
  <si>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</si>
  <si>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</si>
  <si>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</si>
  <si>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</si>
  <si>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</si>
  <si>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</si>
  <si>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</si>
  <si>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</si>
  <si>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</si>
  <si>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</si>
  <si>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</si>
  <si>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</si>
  <si>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</si>
  <si>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</si>
  <si>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</si>
  <si>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</si>
  <si>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</si>
  <si>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</si>
  <si>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</si>
  <si>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</si>
  <si>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</si>
  <si>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</si>
  <si>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</si>
  <si>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</si>
  <si>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</si>
  <si>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</si>
  <si>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</si>
  <si>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</si>
  <si>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</si>
  <si>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</si>
  <si>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</si>
  <si>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</si>
  <si>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</si>
  <si>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</si>
  <si>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</si>
  <si>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</si>
  <si>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</si>
  <si>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Avg. Daily Membership</t>
  </si>
  <si>
    <t>Attending</t>
  </si>
  <si>
    <t xml:space="preserve">                                            Annual Financial Report Summary</t>
  </si>
  <si>
    <t xml:space="preserve">Adjusted </t>
  </si>
  <si>
    <t xml:space="preserve">Revenues </t>
  </si>
  <si>
    <t>Budgeted Expenses</t>
  </si>
  <si>
    <t>Actual Expenses</t>
  </si>
  <si>
    <t xml:space="preserve">Redemption of </t>
  </si>
  <si>
    <t>Project/Program</t>
  </si>
  <si>
    <t>Project Balance</t>
  </si>
  <si>
    <t>Indirect costs</t>
  </si>
  <si>
    <t xml:space="preserve">principal </t>
  </si>
  <si>
    <t>Additional reserve information</t>
  </si>
  <si>
    <t>Regular Education</t>
  </si>
  <si>
    <t>Special Education</t>
  </si>
  <si>
    <t>Pupil Transportation</t>
  </si>
  <si>
    <t>Dropout Prevention Programs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</si>
  <si>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</si>
  <si>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</si>
  <si>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</si>
  <si>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</si>
  <si>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</si>
  <si>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</si>
  <si>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</si>
  <si>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</si>
  <si>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</si>
  <si>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All Projects</t>
  </si>
  <si>
    <t>x</t>
  </si>
  <si>
    <t>3.a</t>
  </si>
  <si>
    <t>Deficit balance</t>
  </si>
  <si>
    <t>3.b</t>
  </si>
  <si>
    <t>3.c</t>
  </si>
  <si>
    <t>3.d</t>
  </si>
  <si>
    <t>3.e</t>
  </si>
  <si>
    <t>3.f</t>
  </si>
  <si>
    <t>Maintained for future financial stability</t>
  </si>
  <si>
    <t>3.g</t>
  </si>
  <si>
    <t>Maintained for other purposes (Specify)</t>
  </si>
  <si>
    <t>3.h</t>
  </si>
  <si>
    <t>3.i</t>
  </si>
  <si>
    <t>Yes</t>
  </si>
  <si>
    <t>No</t>
  </si>
  <si>
    <t xml:space="preserve">3. </t>
  </si>
  <si>
    <t xml:space="preserve">Project(s) </t>
  </si>
  <si>
    <t>Method used to establish a targeted project balance reserve amount</t>
  </si>
  <si>
    <t>Total:</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</si>
  <si>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</si>
  <si>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</si>
  <si>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</si>
  <si>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</si>
  <si>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</si>
  <si>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</si>
  <si>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</si>
  <si>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</si>
  <si>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</si>
  <si>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</si>
  <si>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</si>
  <si>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</si>
  <si>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</si>
  <si>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</si>
  <si>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</si>
  <si>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</si>
  <si>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</si>
  <si>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</si>
  <si>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</si>
  <si>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</si>
  <si>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</si>
  <si>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</si>
  <si>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</si>
  <si>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</si>
  <si>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</si>
  <si>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</si>
  <si>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</si>
  <si>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</si>
  <si>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</si>
  <si>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</si>
  <si>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</si>
  <si>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</si>
  <si>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</si>
  <si>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</si>
  <si>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</si>
  <si>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</si>
  <si>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</si>
  <si>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</si>
  <si>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</si>
  <si>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</si>
  <si>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</si>
  <si>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</si>
  <si>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</si>
  <si>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</si>
  <si>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</si>
  <si>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</si>
  <si>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</si>
  <si>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</si>
  <si>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</si>
  <si>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</si>
  <si>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</si>
  <si>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</si>
  <si>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</si>
  <si>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</si>
  <si>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</si>
  <si>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</si>
  <si>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</si>
  <si>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</si>
  <si>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</si>
  <si>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</si>
  <si>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</si>
  <si>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</si>
  <si>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</si>
  <si>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</si>
  <si>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</si>
  <si>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</si>
  <si>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</si>
  <si>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</si>
  <si>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</si>
  <si>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</si>
  <si>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</si>
  <si>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</si>
  <si>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</si>
  <si>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</si>
  <si>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</si>
  <si>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</si>
  <si>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</si>
  <si>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</si>
  <si>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</si>
  <si>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</si>
  <si>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</si>
  <si>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</si>
  <si>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</si>
  <si>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</si>
  <si>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</si>
  <si>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</si>
  <si>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</si>
  <si>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</si>
  <si>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</si>
  <si>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</si>
  <si>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</si>
  <si>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</si>
  <si>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</si>
  <si>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</si>
  <si>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</si>
  <si>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</si>
  <si>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</si>
  <si>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</si>
  <si>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</si>
  <si>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</si>
  <si>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</si>
  <si>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</si>
  <si>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</si>
  <si>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</si>
  <si>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</si>
  <si>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</si>
  <si>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</si>
  <si>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</si>
  <si>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</si>
  <si>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</si>
  <si>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</si>
  <si>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</si>
  <si>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</si>
  <si>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</si>
  <si>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</si>
  <si>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</si>
  <si>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</si>
  <si>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</si>
  <si>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</si>
  <si>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</si>
  <si>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</si>
  <si>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</si>
  <si>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</si>
  <si>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</si>
  <si>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</si>
  <si>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</si>
  <si>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</si>
  <si>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</si>
  <si>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</si>
  <si>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</si>
  <si>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</si>
  <si>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</si>
  <si>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</si>
  <si>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</si>
  <si>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</si>
  <si>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</si>
  <si>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</si>
  <si>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</si>
  <si>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</si>
  <si>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</si>
  <si>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</si>
  <si>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</si>
  <si>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</si>
  <si>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</si>
  <si>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</si>
  <si>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</si>
  <si>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</si>
  <si>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</si>
  <si>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</si>
  <si>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</si>
  <si>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</si>
  <si>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</si>
  <si>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</si>
  <si>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</si>
  <si>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</si>
  <si>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</si>
  <si>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</si>
  <si>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</si>
  <si>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</si>
  <si>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</si>
  <si>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</si>
  <si>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</si>
  <si>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</si>
  <si>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</si>
  <si>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</si>
  <si>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</si>
  <si>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</si>
  <si>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</si>
  <si>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</si>
  <si>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</si>
  <si>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</si>
  <si>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</si>
  <si>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</si>
  <si>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</si>
  <si>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</si>
  <si>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</si>
  <si>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</si>
  <si>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</si>
  <si>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</si>
  <si>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</si>
  <si>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</si>
  <si>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</si>
  <si>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</si>
  <si>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</si>
  <si>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</si>
  <si>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</si>
  <si>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</si>
  <si>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</si>
  <si>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</si>
  <si>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</si>
  <si>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</si>
  <si>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</si>
  <si>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</si>
  <si>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</si>
  <si>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</si>
  <si>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</si>
  <si>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</si>
  <si>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</si>
  <si>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</si>
  <si>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</si>
  <si>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</si>
  <si>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</si>
  <si>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t>
  </si>
  <si>
    <t>Reference</t>
  </si>
  <si>
    <t>Instructions</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</si>
  <si>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</si>
  <si>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</si>
  <si>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</si>
  <si>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</si>
  <si>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</si>
  <si>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</si>
  <si>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</si>
  <si>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</si>
  <si>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School listing tab</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</si>
  <si>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</si>
  <si>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</si>
  <si>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Report all revenues the Charter received on this page.  </t>
  </si>
  <si>
    <t xml:space="preserve">1600 Food service, line 6 </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</si>
  <si>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</si>
  <si>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</si>
  <si>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</si>
  <si>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</si>
  <si>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</si>
  <si>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</si>
  <si>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</si>
  <si>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</si>
  <si>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</si>
  <si>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</si>
  <si>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</si>
  <si>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</si>
  <si>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</si>
  <si>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Section B— 
Audit services</t>
  </si>
  <si>
    <t>Section C— 
Capital acquisitions</t>
  </si>
  <si>
    <t>Section C— 
Capital acquisitions,  
line 6</t>
  </si>
  <si>
    <t>Section D—Investment in capital assets</t>
  </si>
  <si>
    <t>Section D— 
Investment in capital assets,  
line 6</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</si>
  <si>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</si>
  <si>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</si>
  <si>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</si>
  <si>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</si>
  <si>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</si>
  <si>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</si>
  <si>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</si>
  <si>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</si>
  <si>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</si>
  <si>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</si>
  <si>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</si>
  <si>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</si>
  <si>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</si>
  <si>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</si>
  <si>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</si>
  <si>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</si>
  <si>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</si>
  <si>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</si>
  <si>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</si>
  <si>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</si>
  <si>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</si>
  <si>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</si>
  <si>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</si>
  <si>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</si>
  <si>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</si>
  <si>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</si>
  <si>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</si>
  <si>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</si>
  <si>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The total budget and actual expenses on line 33 should agree with the total column for federal and State projects on line 38 on page 2.</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</si>
  <si>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</si>
  <si>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</si>
  <si>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</si>
  <si>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</si>
  <si>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</si>
  <si>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</si>
  <si>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</si>
  <si>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</si>
  <si>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</si>
  <si>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</si>
  <si>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</si>
  <si>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</si>
  <si>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</si>
  <si>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</si>
  <si>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</si>
  <si>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</si>
  <si>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</si>
  <si>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</si>
  <si>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</si>
  <si>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</si>
  <si>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</si>
  <si>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</si>
  <si>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</si>
  <si>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</si>
  <si>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</si>
  <si>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</si>
  <si>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</si>
  <si>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</si>
  <si>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</si>
  <si>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</si>
  <si>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</si>
  <si>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</si>
  <si>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</si>
  <si>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</si>
  <si>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</si>
  <si>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</si>
  <si>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</si>
  <si>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</si>
  <si>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</si>
  <si>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</si>
  <si>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</si>
  <si>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</si>
  <si>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</si>
  <si>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</si>
  <si>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COVID-19 federal relief projects, Amount Remaining to Spend/Conditional formatting</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</si>
  <si>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</si>
  <si>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</si>
  <si>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</si>
  <si>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</si>
  <si>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</si>
  <si>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Beginning Project Balances</t>
  </si>
  <si>
    <t>Adjusted Beginning Project Balance</t>
  </si>
  <si>
    <t>Reserve Balance tab</t>
  </si>
  <si>
    <t>Section A
General</t>
  </si>
  <si>
    <t>Section A
Line 1</t>
  </si>
  <si>
    <t>Section A
Line 2</t>
  </si>
  <si>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</si>
  <si>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</si>
  <si>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</si>
  <si>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</si>
  <si>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</si>
  <si>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</si>
  <si>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</si>
  <si>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</si>
  <si>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</si>
  <si>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</si>
  <si>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</si>
  <si>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</si>
  <si>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</si>
  <si>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</si>
  <si>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Line 4</t>
  </si>
  <si>
    <t>Line 5</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</si>
  <si>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</si>
  <si>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</si>
  <si>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</si>
  <si>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</si>
  <si>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</si>
  <si>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</si>
  <si>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</si>
  <si>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</si>
  <si>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</si>
  <si>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</si>
  <si>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</si>
  <si>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</si>
  <si>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</si>
  <si>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</si>
  <si>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</si>
  <si>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</si>
  <si>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Copy and paste accounting data into cell A2. For efficiency, this file is set to collect 37,000 rows of data. If you have more than 37,000 rows, please email the Auditor General's Accountability Services Division at asd@azauditor.gov to request a larger capacity file.</t>
  </si>
  <si>
    <t>Balance Sheet (asset or liability)</t>
  </si>
  <si>
    <t>1000-Schoolwide Project</t>
  </si>
  <si>
    <t>1010-Classroom Site Project</t>
  </si>
  <si>
    <t>6100-Salaries</t>
  </si>
  <si>
    <t>1020-Instructional Improvement Project</t>
  </si>
  <si>
    <t>100-Regular Education</t>
  </si>
  <si>
    <t>1000-Instruction</t>
  </si>
  <si>
    <t>6200-Employee Benefits</t>
  </si>
  <si>
    <t>1071-English Language Learner</t>
  </si>
  <si>
    <t>200-Special Education</t>
  </si>
  <si>
    <t>1900-Other Instructional Staff</t>
  </si>
  <si>
    <t>6300-6400-6500-Purchased Services</t>
  </si>
  <si>
    <t>1072-Compensatory Instruction Project</t>
  </si>
  <si>
    <t>260-English Language Learners Incremental Costs</t>
  </si>
  <si>
    <t>2100-Support Services-Students</t>
  </si>
  <si>
    <t>6600-Supplies</t>
  </si>
  <si>
    <t>1100-1130-ESEA Title I - Helping Disadvantaged Children</t>
  </si>
  <si>
    <t>265-English Language Learners Compensatory Instruction</t>
  </si>
  <si>
    <t>2200-Support Services-Instruction</t>
  </si>
  <si>
    <t>6700-Property (depreciation &amp; impairments)</t>
  </si>
  <si>
    <t>1140-1150-ESEA Title II  - Prof. Dev. And Technology</t>
  </si>
  <si>
    <t>270-Vocational and Technical Education</t>
  </si>
  <si>
    <t>2220-Improvement of Instruction</t>
  </si>
  <si>
    <t>6810-Dues &amp; Fees</t>
  </si>
  <si>
    <t>1160-ESEA  Title IV - 21st Century Schools</t>
  </si>
  <si>
    <t>400-Pupil Transportation</t>
  </si>
  <si>
    <t>2230-Library/Media Services</t>
  </si>
  <si>
    <t>6820-Judgments Against a Charter</t>
  </si>
  <si>
    <t>1170-1180-ESEA Title V - Promote Informed Parent Choice</t>
  </si>
  <si>
    <t>430-Pupil Transportation-ELL Incremental Costs</t>
  </si>
  <si>
    <t>2300-Support Services-General Administration</t>
  </si>
  <si>
    <t>6850-Interest</t>
  </si>
  <si>
    <t>1190-ESEA  Title III - Limited Eng. &amp; Immigrant Students</t>
  </si>
  <si>
    <t>435-Pupil Transportation-ELL Compensatory Instruction</t>
  </si>
  <si>
    <t>2400-Support Services-School Administration</t>
  </si>
  <si>
    <t>6890-Miscellaneous</t>
  </si>
  <si>
    <t>1200-ESEA Title VII - Indian Education</t>
  </si>
  <si>
    <t>530-Dropout Prevention Programs</t>
  </si>
  <si>
    <t>2500-Central Services</t>
  </si>
  <si>
    <t>6830-6840-6860-6870 Other Expenses and Losses</t>
  </si>
  <si>
    <t>1210-ESEA Title VI - Flexibility and Accountability</t>
  </si>
  <si>
    <t>540-Joint Career &amp; Technical Ed. &amp; Vocational Ed. Center</t>
  </si>
  <si>
    <t>2600-Operation and Maintenance of Plant</t>
  </si>
  <si>
    <t>6900-Other Objects (Indirect Costs)</t>
  </si>
  <si>
    <t>1220-IDEA, Part B</t>
  </si>
  <si>
    <t>550-K-3 Reading Program</t>
  </si>
  <si>
    <t>2700-Student Transportation</t>
  </si>
  <si>
    <t>1310-Tuition from Individuals</t>
  </si>
  <si>
    <t>1227-ARP-IDEA Preschool</t>
  </si>
  <si>
    <t>610-School-Sponsored Cocurricular Activities</t>
  </si>
  <si>
    <t>2900-Other Support Services</t>
  </si>
  <si>
    <t>1320-Tuition from Other Arizona Schools or Districts</t>
  </si>
  <si>
    <t>1228-ARP-IDEA Basic</t>
  </si>
  <si>
    <t>620-School-Sponsored Athletics</t>
  </si>
  <si>
    <t>3100-Food Service Operations</t>
  </si>
  <si>
    <t>1410-Transportation Fees from Individuals</t>
  </si>
  <si>
    <t>1230-Johnson-O'Malley</t>
  </si>
  <si>
    <t>630-Other Instructional Programs</t>
  </si>
  <si>
    <t>3300-Community Service Operations</t>
  </si>
  <si>
    <t>1420-Transportation Fees from Other Arizona Schools or Districts</t>
  </si>
  <si>
    <t>1240-Workforce Investment Act</t>
  </si>
  <si>
    <t>700-Adult/Continuing Education Programs</t>
  </si>
  <si>
    <t>3400-Bookstore Operations</t>
  </si>
  <si>
    <t>1500-Earnings on Investments</t>
  </si>
  <si>
    <t>1250-AEA - Adult Education</t>
  </si>
  <si>
    <t>800-Community College Education Programs</t>
  </si>
  <si>
    <t>4000-Facilities Acquisition &amp; Construction</t>
  </si>
  <si>
    <t>1600-Food Service</t>
  </si>
  <si>
    <t>1260-1270-Vocational Education - Basic Grants</t>
  </si>
  <si>
    <t>900-Community Services Programs</t>
  </si>
  <si>
    <t>5000-Debt Service</t>
  </si>
  <si>
    <t xml:space="preserve">1700-School Activities </t>
  </si>
  <si>
    <t>1280-ESEA Title X - Homeless Education</t>
  </si>
  <si>
    <t>1750-Revenue from Enterprise Activities</t>
  </si>
  <si>
    <t>1290-Medicaid Reimbursement</t>
  </si>
  <si>
    <t>1790-Extracurricular Activities Fees Tax Credit</t>
  </si>
  <si>
    <t>1300-Charter School Implementation Project (Stimulus)</t>
  </si>
  <si>
    <t>1800-Revenue from Community Services Activities</t>
  </si>
  <si>
    <t>13XX-Impact Aid</t>
  </si>
  <si>
    <t>1310-1399-COVID-19 Federal Relief Projects</t>
  </si>
  <si>
    <t>1920-Contributions and Donations from Private Sources</t>
  </si>
  <si>
    <t>1310-1399-Other Federal Projects</t>
  </si>
  <si>
    <t>Other Revenue from Local Sources</t>
  </si>
  <si>
    <t>1400-Vocational Education</t>
  </si>
  <si>
    <t>2100-Unrestricted Revenue from Intermediate Sources</t>
  </si>
  <si>
    <t>1410-Early Childhood Block Grant</t>
  </si>
  <si>
    <t>2200-Restricted Revenue from Intermediate Sources</t>
  </si>
  <si>
    <t>1420-Extended School Year - Pupils with Disabilities</t>
  </si>
  <si>
    <t>Other Revenue from Intermediate Sources</t>
  </si>
  <si>
    <t>1425-Adult Basic Education</t>
  </si>
  <si>
    <t>3110-State Equalization Assistance</t>
  </si>
  <si>
    <t>1430-Chemical Abuse Prevention Programs</t>
  </si>
  <si>
    <t>3130-3150-Other Unrestricted Revenue from State Sources</t>
  </si>
  <si>
    <t>1435-Academic Contests</t>
  </si>
  <si>
    <t>3200-Restricted Revenue from State Sources</t>
  </si>
  <si>
    <t>1450-Gifted Education</t>
  </si>
  <si>
    <t>3900-Revenue for/on Behalf of the School</t>
  </si>
  <si>
    <t>1456-College Credit Exam Incentives</t>
  </si>
  <si>
    <t>Other Revenue from State Sources</t>
  </si>
  <si>
    <t>4100, 4300-Unrestricted/Restricted Received Directly from the Federal Government</t>
  </si>
  <si>
    <t>1460-Environmental Special Plate</t>
  </si>
  <si>
    <t>4200, 4500-Unrestricted/Restricted Received from the Federal Government through the State</t>
  </si>
  <si>
    <t>1465-Charter School Stimulus Fund</t>
  </si>
  <si>
    <t>4700-Revenue Received from the Federal Government through Other Intermediate Agencies</t>
  </si>
  <si>
    <t>14XX-Arizona Industry Credentials Incentive</t>
  </si>
  <si>
    <t>4800-Federal Impact Aid</t>
  </si>
  <si>
    <t>1470-1499-Other State Projects</t>
  </si>
  <si>
    <t>4900-Revenue for/on Behalf of the School</t>
  </si>
  <si>
    <t>1500-1999-Other Special Projects</t>
  </si>
  <si>
    <t>Other Revenue from Federal Sources</t>
  </si>
  <si>
    <t>9999-Other Non PSD-12 Projects</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</si>
  <si>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</si>
  <si>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</si>
  <si>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</si>
  <si>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</si>
  <si>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</si>
  <si>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</si>
  <si>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</si>
  <si>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</si>
  <si>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</si>
  <si>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</si>
  <si>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</si>
  <si>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</si>
  <si>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</si>
  <si>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</si>
  <si>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</si>
  <si>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</si>
  <si>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</si>
  <si>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</si>
  <si>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</si>
  <si>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</si>
  <si>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</si>
  <si>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</si>
  <si>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</si>
  <si>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</si>
  <si>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</si>
  <si>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</si>
  <si>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</si>
  <si>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</si>
  <si>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</si>
  <si>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</si>
  <si>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</si>
  <si>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</si>
  <si>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</si>
  <si>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</si>
  <si>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</si>
  <si>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</si>
  <si>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</si>
  <si>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</si>
  <si>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</si>
  <si>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</si>
  <si>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</si>
  <si>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</si>
  <si>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</si>
  <si>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</si>
  <si>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</si>
  <si>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</si>
  <si>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</si>
  <si>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</si>
  <si>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</si>
  <si>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</si>
  <si>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</si>
  <si>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</si>
  <si>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</si>
  <si>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</si>
  <si>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</si>
  <si>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</si>
  <si>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</si>
  <si>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</si>
  <si>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</si>
  <si>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</si>
  <si>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</si>
  <si>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</si>
  <si>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</si>
  <si>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</si>
  <si>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</si>
  <si>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</si>
  <si>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</si>
  <si>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</si>
  <si>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</si>
  <si>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</si>
  <si>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</si>
  <si>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</si>
  <si>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</si>
  <si>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</si>
  <si>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</si>
  <si>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</si>
  <si>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</si>
  <si>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</si>
  <si>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</si>
  <si>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</si>
  <si>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</si>
  <si>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</si>
  <si>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</si>
  <si>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</si>
  <si>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</si>
  <si>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</si>
  <si>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</si>
  <si>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</si>
  <si>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</si>
  <si>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</si>
  <si>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</si>
  <si>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</si>
  <si>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</si>
  <si>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</si>
  <si>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</si>
  <si>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</si>
  <si>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</si>
  <si>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</si>
  <si>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</si>
  <si>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</si>
  <si>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</si>
  <si>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</si>
  <si>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</si>
  <si>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</si>
  <si>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</si>
  <si>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</si>
  <si>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</si>
  <si>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</si>
  <si>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</si>
  <si>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</si>
  <si>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</si>
  <si>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</si>
  <si>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</si>
  <si>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</si>
  <si>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</si>
  <si>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</si>
  <si>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</si>
  <si>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</si>
  <si>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</si>
  <si>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</si>
  <si>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</si>
  <si>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</si>
  <si>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</si>
  <si>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</si>
  <si>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</si>
  <si>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</si>
  <si>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</si>
  <si>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</si>
  <si>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</si>
  <si>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</si>
  <si>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</si>
  <si>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</si>
  <si>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</si>
  <si>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</si>
  <si>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</si>
  <si>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</si>
  <si>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</si>
  <si>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</si>
  <si>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</si>
  <si>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t>B. Project balance reserve process or policy</t>
  </si>
  <si>
    <t>Governing Board policy number (N/A if no adopted policy exists):</t>
  </si>
  <si>
    <t>Does the Charter operate additional school sites with resources that are not reflected in the project balances reported in section A?</t>
  </si>
  <si>
    <t xml:space="preserve">Is the Charter a part of another financial reporting entity (e.g., a larger nonprofit organization) with resources that are not reflected in the project balances reported in Section A? </t>
  </si>
  <si>
    <t xml:space="preserve">     Total federal and State projects (lines 18 and 32)</t>
  </si>
  <si>
    <t xml:space="preserve">     Total State projects (lines 20-31)</t>
  </si>
  <si>
    <t>A. Project balance amounts and planned uses</t>
  </si>
  <si>
    <t>Total project balance (should agree to amount on line 2)</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</si>
  <si>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</si>
  <si>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</si>
  <si>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</si>
  <si>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Prior year ending project balance</t>
  </si>
  <si>
    <t>Current year ending project balance</t>
  </si>
  <si>
    <r>
      <t>This line pulls in current year ending balances from the Summar</t>
    </r>
    <r>
      <rPr>
        <sz val="10"/>
        <rFont val="Times New Roman"/>
        <family val="2"/>
      </rPr>
      <t>y tab for all projects.</t>
    </r>
  </si>
  <si>
    <t>Section A
Lines 3.c, through h</t>
  </si>
  <si>
    <t>Section B provides information about any process or policy the Charter uses to establish targeted (goal) project balance reserve amounts.</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</si>
  <si>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</si>
  <si>
    <t>Federal and State projects, line 33</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</si>
  <si>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</si>
  <si>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</si>
  <si>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(see Reserve balance tab for more detail)</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</si>
  <si>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</si>
  <si>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</si>
  <si>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</si>
  <si>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</si>
  <si>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</si>
  <si>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</si>
  <si>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</si>
  <si>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Classroom Site Project (from page 3, lines 6 and 8)</t>
  </si>
  <si>
    <t>Federal and State Projects (from page 8, line 33)</t>
  </si>
  <si>
    <t>(1)  Include the value of USDA Commodities on this line (excluding freight), as well as cash received from the USDA instead of commodities.</t>
  </si>
  <si>
    <t xml:space="preserve">     [This amount will be used to determine charter compliance with State matching requirements pursuant to CFR Title 7, §210.17(a).]</t>
  </si>
  <si>
    <t>E.  State Equalization Assistance expended for food service, function 3100</t>
  </si>
  <si>
    <t xml:space="preserve">     Number of 1/2 pint milk units served to children</t>
  </si>
  <si>
    <t>D.  Special Milk Program</t>
  </si>
  <si>
    <t xml:space="preserve">           </t>
  </si>
  <si>
    <t xml:space="preserve">      Total  (must equal total on line 11 above)</t>
  </si>
  <si>
    <t xml:space="preserve">     6. Paid snack</t>
  </si>
  <si>
    <t xml:space="preserve">      Other</t>
  </si>
  <si>
    <t xml:space="preserve">     5. Paid lunch</t>
  </si>
  <si>
    <t xml:space="preserve">      Management fee</t>
  </si>
  <si>
    <t xml:space="preserve">     4. Paid breakfast</t>
  </si>
  <si>
    <t xml:space="preserve">      Food</t>
  </si>
  <si>
    <t xml:space="preserve">     3. Reduced snack</t>
  </si>
  <si>
    <t xml:space="preserve">      Supplies and materials (nonfood)</t>
  </si>
  <si>
    <t xml:space="preserve">     2. Reduced lunch</t>
  </si>
  <si>
    <t xml:space="preserve">      Employee benefits</t>
  </si>
  <si>
    <t xml:space="preserve">     1. Reduced breakfast</t>
  </si>
  <si>
    <t xml:space="preserve">      Classified salaries</t>
  </si>
  <si>
    <t>Adult</t>
  </si>
  <si>
    <t>7-8</t>
  </si>
  <si>
    <t>K-6</t>
  </si>
  <si>
    <t>C.  Meal prices</t>
  </si>
  <si>
    <t>G.  Detail of food service management company expenses</t>
  </si>
  <si>
    <t>* Divide all revenues from a la carte sales by the free lunch reimbursement rate received.</t>
  </si>
  <si>
    <t xml:space="preserve">    c. Other</t>
  </si>
  <si>
    <t xml:space="preserve">    b. Program adults/adult workers</t>
  </si>
  <si>
    <t>F.  Cash balances</t>
  </si>
  <si>
    <t xml:space="preserve">    a. Reimbursable meals only</t>
  </si>
  <si>
    <t>2. Served at other locations</t>
  </si>
  <si>
    <t>Total expenses (lines 7-20)</t>
  </si>
  <si>
    <t>0196 Equipment</t>
  </si>
  <si>
    <t>0190 Capital assets (excluding 0196)</t>
  </si>
  <si>
    <t>1. Served at charter school locations</t>
  </si>
  <si>
    <t>6800 Other expenses (excluding food service mgt. fees)</t>
  </si>
  <si>
    <t>B.  Number of meals served</t>
  </si>
  <si>
    <t>6633 Other food</t>
  </si>
  <si>
    <t>Snacks</t>
  </si>
  <si>
    <t>A la carte*</t>
  </si>
  <si>
    <t>Lunches/suppers</t>
  </si>
  <si>
    <t>Breakfasts</t>
  </si>
  <si>
    <t>6632 USDA commodities (freight only)</t>
  </si>
  <si>
    <t>6631 USDA commodities (excluding freight)</t>
  </si>
  <si>
    <t>A.  Number of operating months</t>
  </si>
  <si>
    <t>6620 Energy</t>
  </si>
  <si>
    <t>6610 General supplies (nonfood items)</t>
  </si>
  <si>
    <t>Total revenue (lines 1-5)</t>
  </si>
  <si>
    <t>6591 Services purchased from other AZ schools or districts</t>
  </si>
  <si>
    <t>4900 Revenue for/on behalf of the school (1)</t>
  </si>
  <si>
    <t xml:space="preserve">6570 Food service management </t>
  </si>
  <si>
    <t xml:space="preserve">          from the federal government through the State</t>
  </si>
  <si>
    <t>6530 Communications</t>
  </si>
  <si>
    <t>4500 Restricted revenue (reimbursement) received</t>
  </si>
  <si>
    <t>6400 Purchased property services</t>
  </si>
  <si>
    <t>1900 Other revenues and gains from local sources</t>
  </si>
  <si>
    <t xml:space="preserve">6200 Personal services—employee benefits </t>
  </si>
  <si>
    <t>1600 Food service</t>
  </si>
  <si>
    <t xml:space="preserve">6100 Personal services—salaries </t>
  </si>
  <si>
    <t>Food Service</t>
  </si>
  <si>
    <t>Report the breakdown of expenses related to the use of a food service management company. The total reported in this table must agree with the amount on line 11.</t>
  </si>
  <si>
    <t>Report the number of half-pint units served to children.</t>
  </si>
  <si>
    <t>Report the charge to children and adults as indicated. Please enter zeros if no charge applies.</t>
  </si>
  <si>
    <t>Report snack meals served after the school day has ended, typically for the purposes of an approved After School Care Snack Program, in this column.</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</si>
  <si>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</si>
  <si>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 xml:space="preserve">A la carte </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</si>
  <si>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</si>
  <si>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Report breakfast meals served during an established breakfast period, typically for the purposes of an approved USDA School Breakfast Program, in this column.</t>
  </si>
  <si>
    <t>Report the number of all other meals served that were not eligible to be included on lines a or b, including non-program adults.</t>
  </si>
  <si>
    <t>Report the number of meals served to program adults and adult food service workers.</t>
  </si>
  <si>
    <t>Program adults/adult workers</t>
  </si>
  <si>
    <t>Report the number of reimbursable meals served.</t>
  </si>
  <si>
    <t>Reimbursable meals only</t>
  </si>
  <si>
    <t>Meals served at the charter school should include all meals served on the school's premises. Meals served at other locations should include meals served at nearby district schools, private schools, or other charter schools.</t>
  </si>
  <si>
    <t>Report the number of months the Charter's food service program was in session.</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</si>
  <si>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</si>
  <si>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0196—Equipment</t>
  </si>
  <si>
    <t>0190—Capital assets (excluding 0196)</t>
  </si>
  <si>
    <t>6800—Other expenses (excluding food service management fees)</t>
  </si>
  <si>
    <t>6633—Other food</t>
  </si>
  <si>
    <t>6632—USDA commodities (freight only)</t>
  </si>
  <si>
    <t>https://www.azed.gov/sites/default/files/2022/09/How%20to%20Complete%20USDA%20Foods%20AFR%20Calculations.pdf</t>
  </si>
  <si>
    <t>6631—USDA commodities (excluding freight)</t>
  </si>
  <si>
    <t>6620—Energy</t>
  </si>
  <si>
    <t>6610—General supplies (nonfood items)</t>
  </si>
  <si>
    <t>Report payments to another school or district within the State for services rendered related to the food service program.</t>
  </si>
  <si>
    <t>6591—Services purchased from other Arizona schools or districts</t>
  </si>
  <si>
    <t>6570—Food service management</t>
  </si>
  <si>
    <t>6530—Communications</t>
  </si>
  <si>
    <t xml:space="preserve">Report the cost of services purchased to rent property or equipment, or to operate, repair, and maintain property owned, rented, or used by the Charter. </t>
  </si>
  <si>
    <t xml:space="preserve">6400—Purchased property services </t>
  </si>
  <si>
    <t>Report the portion of employee benefit expenses for personnel whose salaries have been reported on line 7.</t>
  </si>
  <si>
    <t>6200—Personal services—employee benefits</t>
  </si>
  <si>
    <t>6100—Personal services—salaries</t>
  </si>
  <si>
    <t>4900—Revenue for/on behalf of the school</t>
  </si>
  <si>
    <t>4500—Restricted revenue (reimbursement) received from the federal government through the State</t>
  </si>
  <si>
    <t xml:space="preserve">Report other revenue from local sources not classified elsewhere, including rentals and contributions. </t>
  </si>
  <si>
    <t>1900—Other revenues and gains from local sources</t>
  </si>
  <si>
    <t>1600—Food service</t>
  </si>
  <si>
    <t>Report the amount of interest earned on Food Service cash, investments, and receivables, if applicable.</t>
  </si>
  <si>
    <t>1500—Earnings on investments</t>
  </si>
  <si>
    <t>Adjusted beginning project balance</t>
  </si>
  <si>
    <t>Section F—Number of 
full-time equivalent teachers</t>
  </si>
  <si>
    <t>Adjusted beginning balance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</si>
  <si>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</si>
  <si>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</si>
  <si>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</si>
  <si>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</si>
  <si>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r>
      <t xml:space="preserve">If the Charter contracted with a Food Service Management Company (FSMC), report the total amount charged by the FSMC on this line and </t>
    </r>
    <r>
      <rPr>
        <b/>
        <sz val="10"/>
        <rFont val="Times New Roman"/>
        <family val="1"/>
      </rPr>
      <t>complete the table in section G.</t>
    </r>
  </si>
  <si>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</si>
  <si>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</si>
  <si>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</si>
  <si>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r>
      <t>Report the cost of freight for USDA commodities only. Storage charges for USDA commodities are reported on line 18</t>
    </r>
    <r>
      <rPr>
        <sz val="10"/>
        <rFont val="Times New Roman"/>
        <family val="2"/>
      </rPr>
      <t>.</t>
    </r>
  </si>
  <si>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</si>
  <si>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</si>
  <si>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</si>
  <si>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</si>
  <si>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G. Detail of food service management company expenses</t>
  </si>
  <si>
    <t>F. Cash balances</t>
  </si>
  <si>
    <t>E. State Equalization Assistance expended for food service, function 3100</t>
  </si>
  <si>
    <t>D. Special milk program</t>
  </si>
  <si>
    <t>C. Meal prices</t>
  </si>
  <si>
    <t>A. Number of operating months</t>
  </si>
  <si>
    <t>B. Number of meals served</t>
  </si>
  <si>
    <t xml:space="preserve">    1910 Rentals</t>
  </si>
  <si>
    <t xml:space="preserve">    1950 Miscellaneous Revenues from Other Schools or Districts</t>
  </si>
  <si>
    <t xml:space="preserve">    1960 Miscellaneous Revenues from Local Governmental Units</t>
  </si>
  <si>
    <t>1910-Rentals</t>
  </si>
  <si>
    <t>1950-Miscellaneous Revenues from Other Schools or Districts</t>
  </si>
  <si>
    <t>1960-Miscellaneous Revenues from Local Governmental Units</t>
  </si>
  <si>
    <t>Charter website link of posted AFR</t>
  </si>
  <si>
    <t>Charter website link</t>
  </si>
  <si>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</si>
  <si>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</si>
  <si>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</si>
  <si>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</si>
  <si>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1900, 1930, 1980, 1990-Other revenues and gains from local sources</t>
  </si>
  <si>
    <t xml:space="preserve">    1900, 1930, 1980, 1990 Other revenues and gains from local sources</t>
  </si>
  <si>
    <t>Support services-instruction detail (Programs 100-630, excluding 400)</t>
  </si>
  <si>
    <t xml:space="preserve">   1.  Object 6640, functions 1000 and 2230</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</si>
  <si>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</si>
  <si>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</si>
  <si>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FY 2025</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</si>
  <si>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</si>
  <si>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</si>
  <si>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 xml:space="preserve">    1600  Food service (from Food Service tab, line 2)</t>
  </si>
  <si>
    <t xml:space="preserve">      Total Local Revenue (lines 1-16)</t>
  </si>
  <si>
    <t xml:space="preserve">      Total Intermediate Revenue (lines 18-20)</t>
  </si>
  <si>
    <t xml:space="preserve">      Total State Revenue (lines 22-26)</t>
  </si>
  <si>
    <t xml:space="preserve">      Total Federal Revenue (lines 28-33)</t>
  </si>
  <si>
    <t>Total revenue from all sources (lines 17, 21, 27, and 34)</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</si>
  <si>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</si>
  <si>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</si>
  <si>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</si>
  <si>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</si>
  <si>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Total available (lines 6 or 7, and 8)</t>
  </si>
  <si>
    <t>Ending project balance  (line 9 minus line 10)</t>
  </si>
  <si>
    <t>July 1, 2024</t>
  </si>
  <si>
    <t>June 30, 2025</t>
  </si>
  <si>
    <t>Check box if the Charter was new and began operations in FY 2025.</t>
  </si>
  <si>
    <t>Average salary of all teachers employed in FY 2025</t>
  </si>
  <si>
    <t>Average salary of all teachers employed in FY 2024</t>
  </si>
  <si>
    <t>Increase in average teacher salary from FY 2024</t>
  </si>
  <si>
    <t xml:space="preserve">     1. Long-term debt outstanding, July 1, 2024</t>
  </si>
  <si>
    <t xml:space="preserve">     2. Long-term debt issued during FY 2025</t>
  </si>
  <si>
    <t xml:space="preserve">     3. Long-term debt retired during FY 2025</t>
  </si>
  <si>
    <t xml:space="preserve">     4. Long-term debt outstanding, June 30, 2025</t>
  </si>
  <si>
    <t xml:space="preserve">     5. Short-term debt outstanding, July 1, 2024</t>
  </si>
  <si>
    <t xml:space="preserve">     6. Short-term debt outstanding, June 30, 2025</t>
  </si>
  <si>
    <t>Investment in capital assets as of June 30, 2025</t>
  </si>
  <si>
    <t>Cash and investments held at June 30, 2025</t>
  </si>
  <si>
    <t>FY 2020 through 
FY 2024
Expenses and other financing uses</t>
  </si>
  <si>
    <t>FY 2025
Expenses and other financing uses</t>
  </si>
  <si>
    <t>7/1/2024</t>
  </si>
  <si>
    <t>6/30/2025</t>
  </si>
  <si>
    <t>2024</t>
  </si>
  <si>
    <t>2025</t>
  </si>
  <si>
    <t>The total reserve balance for FY 2025 is:</t>
  </si>
  <si>
    <t>FY 2024 ending project balance</t>
  </si>
  <si>
    <t>FY 2025 ending project balance</t>
  </si>
  <si>
    <t>Planned to be spent in FY 2026 to support budgeted spending</t>
  </si>
  <si>
    <r>
      <t xml:space="preserve">Maintained for debt retirement </t>
    </r>
    <r>
      <rPr>
        <u/>
        <sz val="10"/>
        <rFont val="Times New Roman"/>
        <family val="1"/>
      </rPr>
      <t>after</t>
    </r>
    <r>
      <rPr>
        <sz val="10"/>
        <rFont val="Times New Roman"/>
        <family val="1"/>
      </rPr>
      <t xml:space="preserve"> FY 2026</t>
    </r>
  </si>
  <si>
    <r>
      <t xml:space="preserve">Maintained for capital projects </t>
    </r>
    <r>
      <rPr>
        <u/>
        <sz val="10"/>
        <rFont val="Times New Roman"/>
        <family val="1"/>
      </rPr>
      <t>after</t>
    </r>
    <r>
      <rPr>
        <sz val="10"/>
        <rFont val="Times New Roman"/>
        <family val="1"/>
      </rPr>
      <t xml:space="preserve"> FY 2026</t>
    </r>
  </si>
  <si>
    <r>
      <t xml:space="preserve">Maintained for retirement contributions </t>
    </r>
    <r>
      <rPr>
        <u/>
        <sz val="10"/>
        <rFont val="Times New Roman"/>
        <family val="1"/>
      </rPr>
      <t>after</t>
    </r>
    <r>
      <rPr>
        <sz val="10"/>
        <rFont val="Times New Roman"/>
        <family val="1"/>
      </rPr>
      <t xml:space="preserve"> FY 2026</t>
    </r>
  </si>
  <si>
    <t>FY 2025 ending project balance details:</t>
  </si>
  <si>
    <t>If question 1 was answered yes, complete the table below to describe the Charter's specific FY 2025 targeted and actual project balance reserve amounts and methods used to establish those targeted balance reserve amounts.</t>
  </si>
  <si>
    <t xml:space="preserve">Targeted FY 2025 project balance reserve amount </t>
  </si>
  <si>
    <t xml:space="preserve">Actual FY 2025 project balance reserve amount </t>
  </si>
  <si>
    <t>The Charter plans to take the following actions related to its ending project balance in FY 2026 and thereafter:</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</si>
  <si>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</si>
  <si>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</si>
  <si>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</si>
  <si>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</si>
  <si>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</si>
  <si>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</si>
  <si>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</si>
  <si>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</si>
  <si>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</si>
  <si>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</si>
  <si>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</si>
  <si>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</si>
  <si>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</si>
  <si>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Enter the total cost of construction in progress as of June 30, 2025.  This amount is not recorded on the capital assets list as of June 30, 2025.</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</si>
  <si>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</si>
  <si>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</si>
  <si>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</si>
  <si>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</si>
  <si>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</si>
  <si>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</si>
  <si>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</si>
  <si>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</si>
  <si>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Total FY 2025 expenses + indirect costs, debt service, and property disbursements</t>
  </si>
  <si>
    <t xml:space="preserve">Obtain total Attending ADM for FY 2024 and FY 2025 from the unweighted student count in ADE’s BSA-55 report, available on ADE’s website.  </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</si>
  <si>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</si>
  <si>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</si>
  <si>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Report the cash balance (if any) as of July 1, 2025. If there was no cash balance as of July 1, 2025, subtract total expenses from total revenue to determine the cash balance as of June 30, 2025.</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</si>
  <si>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</si>
  <si>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</si>
  <si>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</si>
  <si>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</si>
  <si>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</si>
  <si>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</si>
  <si>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Books, Periodicals, and Instructional Aids (programs 100-630, excluding 400)</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</si>
  <si>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</si>
  <si>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Consolidated the separate Food Service AFR into the AFR file.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</si>
  <si>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</si>
  <si>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 xml:space="preserve">Section A presents the prior year's and current year's ending balances for all projects and provides space for charters to report FY 2025 ending balance details that identify how charters plan to use those monies in future years. </t>
  </si>
  <si>
    <t>Moved adjusted project balance cell from the Summary tab to Page 3.</t>
  </si>
  <si>
    <t>Moved adjusted project balance cell from the Summary tab to Page 4.</t>
  </si>
  <si>
    <t>Moved adjusted project balance cell from the Summary tab to Page 5.</t>
  </si>
  <si>
    <t>Page 1, line 24. 3200-Restricted revenues should be greater than or equal to total revenue amounts on pages 3-5 for CSP, IIP, ELLP and CIP. Ensure revenues are properly recorded for Classroom Site Project on page 3, line 12; Instructional Improvement Project on page 4, line 8; English Language Learner Project on page 5, line 1 and Compensatory Instruction Project, page 5, line 15. As these revenues are all considered restricted revenues from State sources, these amounts should be included in the amount reported on page 1, line 24. In addition, any restricted revenues received for State projects, as reported on page 8, should also be included, as appropriate.</t>
  </si>
  <si>
    <t>See page 3. Classroom Site Project revenue information is not complete. Ensure that all revenues have been recorded for Project 1010—Classroom Site, on page 3, lines 12 and 13. Classroom Site Project YTD payment reports can be obtained from ADE at https://apps.azed.gov/SchoolFinanceReports/Reports.</t>
  </si>
  <si>
    <t>Page 4, Instructional Improvement Project revenue is not complete. Ensure revenue has been reported for the Instructional Improvement Project on page 4, line 8. Instructional Improvement Project YTD payment reports can be obtained from ADE at https://apps.azed.gov/SchoolFinanceReports/Reports.</t>
  </si>
  <si>
    <t>https://www.eduprize.com/board/</t>
  </si>
  <si>
    <t>Eduprize Schools LLC</t>
  </si>
  <si>
    <t>Pinal</t>
  </si>
  <si>
    <t>078687000</t>
  </si>
  <si>
    <t xml:space="preserve">  </t>
  </si>
  <si>
    <t>X</t>
  </si>
  <si>
    <t>N/A</t>
  </si>
  <si>
    <t>078687101</t>
  </si>
  <si>
    <t>078687102</t>
  </si>
  <si>
    <t>078687103</t>
  </si>
  <si>
    <t>Eduprize School</t>
  </si>
  <si>
    <t>Eduprize Schools Gilbert</t>
  </si>
  <si>
    <t>Eduprize Online Instruction</t>
  </si>
  <si>
    <t>CSF</t>
  </si>
  <si>
    <t>1011-100-1000-6100 Salaries</t>
  </si>
  <si>
    <t>1011-100-1000-6200 Benefits</t>
  </si>
  <si>
    <t>1011-100-2100-6100 Salaries</t>
  </si>
  <si>
    <t>1011-100-2200-6100 Salaries</t>
  </si>
  <si>
    <t>1011-200-1000-6200 Benefits</t>
  </si>
  <si>
    <t>1011-200-1000-6100 SE Salaries</t>
  </si>
  <si>
    <t>1012-100-1000-6100 Salaries</t>
  </si>
  <si>
    <t>1012-100-1000-6200 Benefits</t>
  </si>
  <si>
    <t>1012-100-2100-6100 Salaries</t>
  </si>
  <si>
    <t>1012-100-2100-6200 Benefits</t>
  </si>
  <si>
    <t>1012-100-2200-6100 Salaries</t>
  </si>
  <si>
    <t>1012-100-2200-6200 Benefits</t>
  </si>
  <si>
    <t>1012-200-1000-6100 SE Salaries</t>
  </si>
  <si>
    <t>1012-200-1000-6200 SE Benefits</t>
  </si>
  <si>
    <t>IIF</t>
  </si>
  <si>
    <t>1020-100-1000-6640 Books +</t>
  </si>
  <si>
    <t>K-3 Read</t>
  </si>
  <si>
    <t>1000-550-1000-6100 Salaries</t>
  </si>
  <si>
    <t>1000-550-1000-6200 Benefits</t>
  </si>
  <si>
    <t>1000-550-1000-6600 Supplies</t>
  </si>
  <si>
    <t>M &amp; O</t>
  </si>
  <si>
    <t>1000 - C-Regular Ed</t>
  </si>
  <si>
    <t>1001 - C-Regular Ed</t>
  </si>
  <si>
    <t>1000 - -N/C Salaries</t>
  </si>
  <si>
    <t>1000-100-2100-6112 Stu Supp</t>
  </si>
  <si>
    <t>1000-100-2100-6154 N/C StudSupp</t>
  </si>
  <si>
    <t>1000-100-2200-6112 Inst Supp</t>
  </si>
  <si>
    <t>1000-100-2200-6152 N/C In</t>
  </si>
  <si>
    <t>1000-100-2200-6154 N/C InstSupp</t>
  </si>
  <si>
    <t>1000-100-2400-6111 C-Admin</t>
  </si>
  <si>
    <t>1000-100-2400-6154 N/C Admin</t>
  </si>
  <si>
    <t>1000-100-2500-6154 N/C Business</t>
  </si>
  <si>
    <t>1000-100-2600-6154 N/C-Custod</t>
  </si>
  <si>
    <t>1000-100-1000-6200</t>
  </si>
  <si>
    <t>1000-610-1000-6200</t>
  </si>
  <si>
    <t>1000-100-2100-6200</t>
  </si>
  <si>
    <t>1000-100-2200-6200</t>
  </si>
  <si>
    <t>1000-100-2400-6200</t>
  </si>
  <si>
    <t>1000-100-2500-6200</t>
  </si>
  <si>
    <t>1000-100-2600-6200</t>
  </si>
  <si>
    <t>1000-100-1000-6300</t>
  </si>
  <si>
    <t>1000-100-2100-6300</t>
  </si>
  <si>
    <t>1000-100-2200-6300</t>
  </si>
  <si>
    <t>1000-100-2400-6300</t>
  </si>
  <si>
    <t>1000-100-2500-6300</t>
  </si>
  <si>
    <t>1000-100-2600-6300</t>
  </si>
  <si>
    <t>1000-100-5000-6800</t>
  </si>
  <si>
    <t>1000-400-2700-6300</t>
  </si>
  <si>
    <t>1000-100-1000-6600</t>
  </si>
  <si>
    <t>1000-100-2100-6600</t>
  </si>
  <si>
    <t>1000-100-2200-6600</t>
  </si>
  <si>
    <t>1000-100-2400-6600</t>
  </si>
  <si>
    <t>1000-100-2500-6600</t>
  </si>
  <si>
    <t>1000-100-2600-6600</t>
  </si>
  <si>
    <t>1000-100-1000-6810</t>
  </si>
  <si>
    <t>1000-100-1000-6875</t>
  </si>
  <si>
    <t>1000-610-1000-6895</t>
  </si>
  <si>
    <t>1000-610-1000-6900</t>
  </si>
  <si>
    <t>1000-610-1000-6902</t>
  </si>
  <si>
    <t>1000-610-1000-6903</t>
  </si>
  <si>
    <t>1000-610-1000-6905</t>
  </si>
  <si>
    <t>1000-610-1000-6907</t>
  </si>
  <si>
    <t>1000-100-2400-6820</t>
  </si>
  <si>
    <t>1000-100-2400-6810</t>
  </si>
  <si>
    <t>1000-100-2400-6835</t>
  </si>
  <si>
    <t>1000-100-2500-6850</t>
  </si>
  <si>
    <t>1000-100-2500-6810</t>
  </si>
  <si>
    <t>1000-100-2600-6800</t>
  </si>
  <si>
    <t xml:space="preserve">1000-200-1000-6112 </t>
  </si>
  <si>
    <t>1000-200-2100-6112</t>
  </si>
  <si>
    <t>1000-200-2400-6112</t>
  </si>
  <si>
    <t xml:space="preserve">1000-200-1000-6152 </t>
  </si>
  <si>
    <t>1000-200-1000-6200</t>
  </si>
  <si>
    <t>1000-200-2100-6200</t>
  </si>
  <si>
    <t>1000-200-2200-6200</t>
  </si>
  <si>
    <t>1000-200-2400-6200</t>
  </si>
  <si>
    <t>1000-200-1000-6300</t>
  </si>
  <si>
    <t>1000-200-2100-6300</t>
  </si>
  <si>
    <t>1000-200-2200-6300</t>
  </si>
  <si>
    <t>1000-200-1000-6600</t>
  </si>
  <si>
    <t>1000-200-2100-6600</t>
  </si>
  <si>
    <t>1000-100-1000-6870</t>
  </si>
  <si>
    <t>CCEIP</t>
  </si>
  <si>
    <t>1500 Earnings on Investments</t>
  </si>
  <si>
    <t>1000-000-0000-1600 Lunch Rev</t>
  </si>
  <si>
    <t>1900-Other Revenues and Gains from Local Sources</t>
  </si>
  <si>
    <t>1000-000-0000-1705 ExtendedCare</t>
  </si>
  <si>
    <t>1000-000-0000-1706 PreK</t>
  </si>
  <si>
    <t>1000-000-0000-1710 KinderTuitio</t>
  </si>
  <si>
    <t>1000-000-0000-1720 K-Testing</t>
  </si>
  <si>
    <t>1000-000-0000-1740 PE</t>
  </si>
  <si>
    <t>1000-000-0000-1741 ParkngPermit</t>
  </si>
  <si>
    <t>1000-000-0000-1742 Electives</t>
  </si>
  <si>
    <t>1000-000-0000-1744 Social Comm</t>
  </si>
  <si>
    <t>1000-000-0000-1795 Late Fees</t>
  </si>
  <si>
    <t>1000-610-0000-1704 A/S Sports</t>
  </si>
  <si>
    <t>1000-610-0000-1705 A/S Music</t>
  </si>
  <si>
    <t>1000-610-0000-1707 A/S Tutoring</t>
  </si>
  <si>
    <t>1000-610-0000-1709 A/S Clubs</t>
  </si>
  <si>
    <t>1000-610-0000-1726 Life Fund</t>
  </si>
  <si>
    <t>1000-610-0000-1731 Project X</t>
  </si>
  <si>
    <t>1000-610-0000-1745 Field Trips</t>
  </si>
  <si>
    <t>1000-610-0000-1790 ECA</t>
  </si>
  <si>
    <t>1000-000-1000-1940 Misc. Revenu</t>
  </si>
  <si>
    <t>1000-000-0000-3110 State Equali</t>
  </si>
  <si>
    <t>1000-000-0000-3110 Prop 123/CHADD</t>
  </si>
  <si>
    <t>1020-000-0000-3200 Inst Imp Fun</t>
  </si>
  <si>
    <t>1010 ClassroomSiteFund Prop 301 - Other</t>
  </si>
  <si>
    <t>1456-000-000-3200</t>
  </si>
  <si>
    <t>1000-000-0000-3110 Prop 123</t>
  </si>
  <si>
    <t>1000-000-0000-1704 3-6 Planners</t>
  </si>
  <si>
    <t>Reduction of staff and other costs.</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</si>
</sst>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70" x14ac:knownFonts="1">
    <font>
      <sz val="10"/>
      <name val="Times New Roman"/>
      <family val="2"/>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b/>
      <sz val="11"/>
      <color rgb="FFFF0000"/>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s>
  <fills count="17">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5">
    <xf numFmtId="0" fontId="0" fillId="0" borderId="0"/>
    <xf numFmtId="9" fontId="6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8" fillId="0" borderId="0" applyNumberFormat="0" applyFill="0" applyBorder="0">
      <protection locked="0"/>
    </xf>
    <xf numFmtId="0" fontId="4" fillId="0" borderId="0"/>
    <xf numFmtId="0" fontId="15" fillId="0" borderId="0" applyFont="0" applyBorder="0"/>
    <xf numFmtId="0" fontId="3" fillId="0" borderId="0"/>
    <xf numFmtId="0" fontId="3" fillId="0" borderId="0"/>
    <xf numFmtId="0" fontId="4" fillId="0" borderId="0"/>
    <xf numFmtId="0" fontId="46" fillId="0" borderId="0" applyNumberFormat="0" applyFill="0" applyBorder="0">
      <protection locked="0"/>
    </xf>
    <xf numFmtId="0" fontId="63" fillId="0" borderId="0"/>
    <xf numFmtId="0" fontId="8" fillId="0" borderId="0" applyNumberFormat="0" applyFill="0" applyBorder="0">
      <protection locked="0"/>
    </xf>
  </cellStyleXfs>
  <cellXfs count="1005">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5"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0" fillId="0" borderId="3" xfId="0" applyBorder="1"/>
    <xf numFmtId="0" fontId="0" fillId="0" borderId="0" xfId="0" applyAlignment="1">
      <alignment horizontal="right"/>
    </xf>
    <xf numFmtId="0" fontId="0" fillId="0" borderId="0" xfId="0" applyAlignment="1">
      <alignment wrapText="1"/>
    </xf>
    <xf numFmtId="0" fontId="37" fillId="0" borderId="1" xfId="7" applyFont="1" applyBorder="1" applyProtection="1">
      <protection locked="0"/>
    </xf>
    <xf numFmtId="49" fontId="37" fillId="0" borderId="1" xfId="7" applyNumberFormat="1" applyFont="1" applyBorder="1" applyProtection="1">
      <protection locked="0"/>
    </xf>
    <xf numFmtId="0" fontId="37" fillId="0" borderId="1" xfId="7" applyFont="1" applyBorder="1" applyAlignment="1" applyProtection="1">
      <alignment horizontal="right"/>
      <protection locked="0"/>
    </xf>
    <xf numFmtId="0" fontId="37" fillId="0" borderId="1" xfId="7" applyFont="1" applyBorder="1" applyAlignment="1" applyProtection="1">
      <alignment wrapText="1"/>
      <protection locked="0"/>
    </xf>
    <xf numFmtId="0" fontId="39" fillId="2" borderId="1" xfId="7" applyFont="1" applyFill="1" applyBorder="1" applyAlignment="1" applyProtection="1">
      <alignment horizontal="center"/>
      <protection locked="0"/>
    </xf>
    <xf numFmtId="0" fontId="4" fillId="0" borderId="0" xfId="7" applyProtection="1">
      <protection locked="0"/>
    </xf>
    <xf numFmtId="0" fontId="4" fillId="0" borderId="0" xfId="7" applyAlignment="1" applyProtection="1">
      <alignment horizontal="left" vertical="top"/>
      <protection locked="0"/>
    </xf>
    <xf numFmtId="0" fontId="4" fillId="3" borderId="2" xfId="7" applyFill="1" applyBorder="1" applyAlignment="1" applyProtection="1">
      <alignment horizontal="left" vertical="top"/>
      <protection locked="0"/>
    </xf>
    <xf numFmtId="0" fontId="4" fillId="0" borderId="0" xfId="7" applyAlignment="1" applyProtection="1">
      <alignment horizontal="left" indent="1"/>
      <protection locked="0"/>
    </xf>
    <xf numFmtId="0" fontId="37" fillId="0" borderId="0" xfId="7" applyFont="1" applyAlignment="1" applyProtection="1">
      <alignment horizontal="left" vertical="top"/>
      <protection locked="0"/>
    </xf>
    <xf numFmtId="40" fontId="39" fillId="2" borderId="1" xfId="7" applyNumberFormat="1" applyFont="1" applyFill="1" applyBorder="1" applyAlignment="1" applyProtection="1">
      <alignment horizontal="center"/>
      <protection locked="0"/>
    </xf>
    <xf numFmtId="40" fontId="4" fillId="0" borderId="0" xfId="7" applyNumberFormat="1" applyAlignment="1" applyProtection="1">
      <alignment horizontal="left" vertical="top"/>
      <protection locked="0"/>
    </xf>
    <xf numFmtId="40" fontId="4" fillId="0" borderId="0" xfId="7" applyNumberFormat="1" applyProtection="1">
      <protection locked="0"/>
    </xf>
    <xf numFmtId="0" fontId="39" fillId="2" borderId="2" xfId="7" applyFont="1" applyFill="1" applyBorder="1" applyAlignment="1" applyProtection="1">
      <alignment horizontal="center"/>
      <protection locked="0"/>
    </xf>
    <xf numFmtId="0" fontId="4" fillId="3" borderId="0" xfId="7" applyFill="1" applyProtection="1">
      <protection locked="0"/>
    </xf>
    <xf numFmtId="0" fontId="4" fillId="3" borderId="0" xfId="7" applyFill="1" applyAlignment="1" applyProtection="1">
      <alignment horizontal="left" vertical="top"/>
      <protection locked="0"/>
    </xf>
    <xf numFmtId="0" fontId="4" fillId="3" borderId="0" xfId="7" applyFill="1" applyAlignment="1" applyProtection="1">
      <alignment horizontal="left"/>
      <protection locked="0"/>
    </xf>
    <xf numFmtId="0" fontId="45"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37" fontId="0" fillId="0" borderId="5" xfId="0" applyNumberFormat="1" applyBorder="1" applyAlignment="1" applyProtection="1">
      <alignment horizontal="right"/>
      <protection locked="0"/>
    </xf>
    <xf numFmtId="0" fontId="45" fillId="4" borderId="6" xfId="0" applyFont="1" applyFill="1" applyBorder="1" applyProtection="1">
      <protection locked="0"/>
    </xf>
    <xf numFmtId="168" fontId="53" fillId="0" borderId="7" xfId="12" applyNumberFormat="1" applyFont="1" applyFill="1" applyBorder="1" applyProtection="1"/>
    <xf numFmtId="37" fontId="29" fillId="0" borderId="1" xfId="10" applyNumberFormat="1" applyFont="1" applyBorder="1" applyAlignment="1" applyProtection="1">
      <alignment horizontal="right" vertical="center"/>
      <protection locked="0"/>
    </xf>
    <xf numFmtId="168" fontId="5" fillId="0" borderId="1" xfId="12" applyNumberFormat="1" applyFont="1" applyFill="1" applyBorder="1" applyAlignment="1" applyProtection="1">
      <alignment horizontal="center" wrapText="1"/>
    </xf>
    <xf numFmtId="37" fontId="29" fillId="0" borderId="1" xfId="4" applyNumberFormat="1" applyFont="1" applyFill="1" applyBorder="1" applyProtection="1">
      <protection locked="0"/>
    </xf>
    <xf numFmtId="37" fontId="29" fillId="5" borderId="1" xfId="10" quotePrefix="1" applyNumberFormat="1" applyFont="1" applyFill="1" applyBorder="1" applyProtection="1">
      <protection locked="0"/>
    </xf>
    <xf numFmtId="37" fontId="29" fillId="0" borderId="1" xfId="4" applyNumberFormat="1" applyFont="1" applyFill="1" applyBorder="1" applyAlignment="1" applyProtection="1">
      <alignment wrapText="1"/>
    </xf>
    <xf numFmtId="37" fontId="29" fillId="0" borderId="8" xfId="4" applyNumberFormat="1" applyFont="1" applyFill="1" applyBorder="1" applyProtection="1">
      <protection locked="0"/>
    </xf>
    <xf numFmtId="37" fontId="29" fillId="0" borderId="0" xfId="4" applyNumberFormat="1" applyFont="1" applyFill="1" applyBorder="1" applyProtection="1"/>
    <xf numFmtId="0" fontId="16" fillId="0" borderId="0" xfId="12" applyFont="1" applyFill="1" applyBorder="1" applyProtection="1"/>
    <xf numFmtId="0" fontId="32" fillId="0" borderId="0" xfId="12" applyFont="1" applyFill="1" applyBorder="1" applyProtection="1"/>
    <xf numFmtId="165" fontId="29" fillId="0" borderId="0" xfId="12" applyNumberFormat="1" applyFont="1" applyFill="1" applyBorder="1" applyAlignment="1" applyProtection="1">
      <alignment vertical="center" wrapText="1"/>
    </xf>
    <xf numFmtId="165" fontId="33" fillId="0" borderId="0" xfId="12" applyNumberFormat="1" applyFont="1" applyFill="1" applyBorder="1" applyAlignment="1" applyProtection="1">
      <alignment horizontal="center" vertical="center" wrapText="1"/>
    </xf>
    <xf numFmtId="168" fontId="12" fillId="6" borderId="9" xfId="12" applyNumberFormat="1" applyFont="1" applyFill="1" applyBorder="1" applyAlignment="1" applyProtection="1">
      <alignment horizontal="left"/>
    </xf>
    <xf numFmtId="165" fontId="29" fillId="6" borderId="4" xfId="12" applyNumberFormat="1" applyFont="1" applyFill="1" applyBorder="1" applyAlignment="1" applyProtection="1">
      <alignment horizontal="left"/>
    </xf>
    <xf numFmtId="37" fontId="29" fillId="0" borderId="1" xfId="10" applyNumberFormat="1" applyFont="1" applyBorder="1" applyProtection="1">
      <protection locked="0"/>
    </xf>
    <xf numFmtId="168" fontId="12" fillId="6" borderId="4" xfId="12" applyNumberFormat="1" applyFont="1" applyFill="1" applyBorder="1" applyAlignment="1" applyProtection="1">
      <alignment horizontal="left"/>
    </xf>
    <xf numFmtId="37" fontId="52" fillId="0" borderId="1" xfId="4" applyNumberFormat="1" applyFont="1" applyFill="1" applyBorder="1" applyAlignment="1" applyProtection="1">
      <alignment horizontal="right"/>
    </xf>
    <xf numFmtId="0" fontId="41" fillId="0" borderId="0" xfId="0" applyFont="1"/>
    <xf numFmtId="37" fontId="49" fillId="4" borderId="1" xfId="0" applyNumberFormat="1" applyFont="1" applyFill="1" applyBorder="1" applyProtection="1">
      <protection locked="0"/>
    </xf>
    <xf numFmtId="37" fontId="49" fillId="4" borderId="5" xfId="0" applyNumberFormat="1" applyFont="1" applyFill="1" applyBorder="1" applyProtection="1">
      <protection locked="0"/>
    </xf>
    <xf numFmtId="37" fontId="49" fillId="0" borderId="1" xfId="0" applyNumberFormat="1" applyFont="1" applyBorder="1" applyProtection="1">
      <protection locked="0"/>
    </xf>
    <xf numFmtId="37" fontId="49" fillId="4" borderId="10" xfId="0" applyNumberFormat="1" applyFont="1" applyFill="1" applyBorder="1" applyProtection="1">
      <protection locked="0"/>
    </xf>
    <xf numFmtId="37" fontId="49" fillId="4" borderId="11" xfId="0" applyNumberFormat="1" applyFont="1" applyFill="1" applyBorder="1" applyProtection="1">
      <protection locked="0"/>
    </xf>
    <xf numFmtId="37" fontId="49" fillId="0" borderId="11" xfId="0" applyNumberFormat="1" applyFont="1" applyBorder="1" applyProtection="1">
      <protection locked="0"/>
    </xf>
    <xf numFmtId="37" fontId="49" fillId="0" borderId="3" xfId="0" applyNumberFormat="1" applyFont="1" applyBorder="1" applyProtection="1">
      <protection locked="0"/>
    </xf>
    <xf numFmtId="3" fontId="49" fillId="0" borderId="3" xfId="0" applyNumberFormat="1" applyFont="1" applyBorder="1" applyProtection="1">
      <protection locked="0"/>
    </xf>
    <xf numFmtId="0" fontId="59" fillId="6" borderId="4" xfId="12" applyFont="1" applyFill="1" applyBorder="1" applyProtection="1"/>
    <xf numFmtId="0" fontId="59" fillId="6" borderId="8" xfId="12" applyFont="1" applyFill="1" applyBorder="1" applyProtection="1"/>
    <xf numFmtId="0" fontId="5" fillId="0" borderId="0" xfId="0" applyFont="1" applyAlignment="1">
      <alignment horizontal="right"/>
    </xf>
    <xf numFmtId="0" fontId="5" fillId="0" borderId="1" xfId="0" applyFont="1" applyBorder="1" applyAlignment="1">
      <alignment horizontal="center"/>
    </xf>
    <xf numFmtId="0" fontId="6" fillId="0" borderId="0" xfId="0" applyFont="1"/>
    <xf numFmtId="0" fontId="0" fillId="0" borderId="0" xfId="0" quotePrefix="1" applyAlignment="1">
      <alignment horizontal="right"/>
    </xf>
    <xf numFmtId="49" fontId="0" fillId="0" borderId="0" xfId="0" applyNumberFormat="1" applyAlignment="1">
      <alignment horizontal="right"/>
    </xf>
    <xf numFmtId="0" fontId="50" fillId="0" borderId="0" xfId="0" applyFont="1"/>
    <xf numFmtId="0" fontId="6"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2" xfId="0" applyBorder="1"/>
    <xf numFmtId="0" fontId="0" fillId="0" borderId="7" xfId="0" applyBorder="1"/>
    <xf numFmtId="0" fontId="0" fillId="0" borderId="13" xfId="0" applyBorder="1"/>
    <xf numFmtId="0" fontId="0" fillId="0" borderId="10" xfId="0" applyBorder="1" applyAlignment="1">
      <alignment horizontal="centerContinuous"/>
    </xf>
    <xf numFmtId="0" fontId="0" fillId="0" borderId="13" xfId="0" applyBorder="1" applyAlignment="1">
      <alignment horizontal="centerContinuous"/>
    </xf>
    <xf numFmtId="0" fontId="0" fillId="0" borderId="12" xfId="0" applyBorder="1" applyAlignment="1">
      <alignment horizontal="centerContinuous"/>
    </xf>
    <xf numFmtId="0" fontId="32" fillId="6" borderId="2" xfId="6" applyFont="1" applyFill="1" applyBorder="1" applyProtection="1"/>
    <xf numFmtId="0" fontId="0" fillId="0" borderId="14" xfId="0" applyBorder="1"/>
    <xf numFmtId="0" fontId="0" fillId="0" borderId="2" xfId="0" applyBorder="1" applyAlignment="1">
      <alignment horizontal="center"/>
    </xf>
    <xf numFmtId="0" fontId="0" fillId="0" borderId="15" xfId="0" applyBorder="1" applyAlignment="1">
      <alignment horizontal="centerContinuous"/>
    </xf>
    <xf numFmtId="0" fontId="0" fillId="0" borderId="15" xfId="0" applyBorder="1" applyAlignment="1">
      <alignment horizontal="center"/>
    </xf>
    <xf numFmtId="0" fontId="0" fillId="0" borderId="14" xfId="0" applyBorder="1" applyAlignment="1">
      <alignment horizontal="centerContinuous"/>
    </xf>
    <xf numFmtId="0" fontId="0" fillId="0" borderId="10" xfId="0" applyBorder="1"/>
    <xf numFmtId="0" fontId="5" fillId="0" borderId="16" xfId="0" applyFont="1" applyBorder="1"/>
    <xf numFmtId="0" fontId="0" fillId="0" borderId="17" xfId="0" applyBorder="1"/>
    <xf numFmtId="0" fontId="0" fillId="0" borderId="5" xfId="0" applyBorder="1" applyAlignment="1">
      <alignment horizontal="center"/>
    </xf>
    <xf numFmtId="0" fontId="5" fillId="0" borderId="12" xfId="0" applyFont="1" applyBorder="1"/>
    <xf numFmtId="37" fontId="0" fillId="0" borderId="10" xfId="0" applyNumberFormat="1" applyBorder="1"/>
    <xf numFmtId="0" fontId="0" fillId="0" borderId="2" xfId="0" applyBorder="1"/>
    <xf numFmtId="49" fontId="0" fillId="0" borderId="14" xfId="0" applyNumberFormat="1" applyBorder="1" applyAlignment="1">
      <alignment horizontal="right"/>
    </xf>
    <xf numFmtId="49" fontId="0" fillId="0" borderId="0" xfId="0" applyNumberFormat="1" applyAlignment="1">
      <alignment horizontal="left"/>
    </xf>
    <xf numFmtId="37" fontId="0" fillId="0" borderId="12" xfId="0" applyNumberFormat="1" applyBorder="1"/>
    <xf numFmtId="0" fontId="0" fillId="0" borderId="16" xfId="0" applyBorder="1"/>
    <xf numFmtId="49" fontId="0" fillId="0" borderId="3" xfId="0" applyNumberFormat="1" applyBorder="1" applyAlignment="1">
      <alignment horizontal="right"/>
    </xf>
    <xf numFmtId="0" fontId="5" fillId="0" borderId="2" xfId="0" applyFont="1" applyBorder="1"/>
    <xf numFmtId="49" fontId="0" fillId="0" borderId="17" xfId="0" applyNumberFormat="1" applyBorder="1" applyAlignment="1">
      <alignment horizontal="right"/>
    </xf>
    <xf numFmtId="10" fontId="49" fillId="4" borderId="0" xfId="0" applyNumberFormat="1" applyFont="1" applyFill="1"/>
    <xf numFmtId="49" fontId="0" fillId="0" borderId="2" xfId="0" applyNumberFormat="1" applyBorder="1" applyAlignment="1">
      <alignment horizontal="right"/>
    </xf>
    <xf numFmtId="0" fontId="0" fillId="0" borderId="9" xfId="0" applyBorder="1"/>
    <xf numFmtId="0" fontId="0" fillId="0" borderId="4" xfId="0" applyBorder="1"/>
    <xf numFmtId="49" fontId="0" fillId="0" borderId="8" xfId="0" applyNumberFormat="1" applyBorder="1" applyAlignment="1">
      <alignment horizontal="right"/>
    </xf>
    <xf numFmtId="37" fontId="0" fillId="7" borderId="1" xfId="0" applyNumberFormat="1" applyFill="1" applyBorder="1"/>
    <xf numFmtId="0" fontId="25"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7" fillId="0" borderId="0" xfId="0" applyFont="1" applyAlignment="1">
      <alignment horizontal="left"/>
    </xf>
    <xf numFmtId="0" fontId="33" fillId="0" borderId="0" xfId="0" applyFont="1" applyAlignment="1">
      <alignment vertical="center" wrapText="1"/>
    </xf>
    <xf numFmtId="0" fontId="33" fillId="0" borderId="14"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7" xfId="9" applyFont="1" applyBorder="1" applyAlignment="1">
      <alignment horizontal="centerContinuous"/>
    </xf>
    <xf numFmtId="0" fontId="33" fillId="0" borderId="7" xfId="9" applyFont="1" applyBorder="1" applyAlignment="1">
      <alignment horizontal="centerContinuous"/>
    </xf>
    <xf numFmtId="0" fontId="33" fillId="0" borderId="13" xfId="9" applyFont="1" applyBorder="1" applyAlignment="1">
      <alignment horizontal="centerContinuous"/>
    </xf>
    <xf numFmtId="0" fontId="33" fillId="0" borderId="2" xfId="0" applyFont="1" applyBorder="1" applyAlignment="1">
      <alignment horizontal="center"/>
    </xf>
    <xf numFmtId="0" fontId="5" fillId="0" borderId="2" xfId="9" applyFont="1" applyBorder="1"/>
    <xf numFmtId="0" fontId="33" fillId="0" borderId="0" xfId="9" applyFont="1"/>
    <xf numFmtId="0" fontId="33" fillId="0" borderId="14" xfId="9" applyFont="1" applyBorder="1"/>
    <xf numFmtId="0" fontId="0" fillId="0" borderId="15" xfId="9" applyFont="1" applyBorder="1" applyAlignment="1">
      <alignment horizontal="center"/>
    </xf>
    <xf numFmtId="0" fontId="33" fillId="0" borderId="2" xfId="9" applyFont="1" applyBorder="1" applyAlignment="1">
      <alignment horizontal="center"/>
    </xf>
    <xf numFmtId="0" fontId="33" fillId="0" borderId="3" xfId="9" applyFont="1" applyBorder="1"/>
    <xf numFmtId="0" fontId="33" fillId="0" borderId="17" xfId="9" applyFont="1" applyBorder="1"/>
    <xf numFmtId="0" fontId="33" fillId="0" borderId="13" xfId="0" applyFont="1" applyBorder="1"/>
    <xf numFmtId="0" fontId="33" fillId="0" borderId="2" xfId="9" applyFont="1" applyBorder="1"/>
    <xf numFmtId="0" fontId="0" fillId="0" borderId="14" xfId="0" quotePrefix="1" applyBorder="1" applyAlignment="1">
      <alignment horizontal="right"/>
    </xf>
    <xf numFmtId="0" fontId="33" fillId="6" borderId="0" xfId="0" applyFont="1" applyFill="1"/>
    <xf numFmtId="0" fontId="33" fillId="0" borderId="16" xfId="9" applyFont="1" applyBorder="1"/>
    <xf numFmtId="0" fontId="33" fillId="6" borderId="3" xfId="0" applyFont="1" applyFill="1" applyBorder="1"/>
    <xf numFmtId="0" fontId="0" fillId="0" borderId="17" xfId="0" quotePrefix="1" applyBorder="1" applyAlignment="1">
      <alignment horizontal="right"/>
    </xf>
    <xf numFmtId="0" fontId="0" fillId="0" borderId="8" xfId="0" applyBorder="1"/>
    <xf numFmtId="0" fontId="0" fillId="0" borderId="8" xfId="0" applyBorder="1" applyAlignment="1">
      <alignment horizontal="center"/>
    </xf>
    <xf numFmtId="0" fontId="33" fillId="0" borderId="7" xfId="0" applyFont="1" applyBorder="1"/>
    <xf numFmtId="0" fontId="0" fillId="0" borderId="7" xfId="0" quotePrefix="1" applyBorder="1" applyAlignment="1">
      <alignment horizontal="right"/>
    </xf>
    <xf numFmtId="0" fontId="42" fillId="4" borderId="0" xfId="0" applyFont="1" applyFill="1" applyAlignment="1">
      <alignment vertical="center"/>
    </xf>
    <xf numFmtId="0" fontId="33" fillId="0" borderId="3" xfId="0" applyFont="1" applyBorder="1"/>
    <xf numFmtId="0" fontId="0" fillId="0" borderId="3" xfId="0" quotePrefix="1" applyBorder="1" applyAlignment="1">
      <alignment horizontal="right"/>
    </xf>
    <xf numFmtId="0" fontId="5" fillId="0" borderId="3" xfId="0" applyFont="1" applyBorder="1" applyAlignment="1">
      <alignment vertical="center"/>
    </xf>
    <xf numFmtId="0" fontId="5" fillId="0" borderId="12" xfId="0" applyFont="1" applyBorder="1" applyAlignment="1">
      <alignment vertical="center"/>
    </xf>
    <xf numFmtId="0" fontId="5" fillId="0" borderId="7" xfId="0" applyFont="1" applyBorder="1" applyAlignment="1">
      <alignment vertical="center"/>
    </xf>
    <xf numFmtId="0" fontId="5" fillId="0" borderId="2" xfId="0" applyFont="1" applyBorder="1" applyAlignment="1">
      <alignment vertical="center"/>
    </xf>
    <xf numFmtId="0" fontId="5" fillId="0" borderId="0" xfId="0" applyFont="1" applyAlignment="1">
      <alignment vertical="center"/>
    </xf>
    <xf numFmtId="0" fontId="43" fillId="0" borderId="0" xfId="0" applyFont="1" applyAlignment="1">
      <alignment vertical="center"/>
    </xf>
    <xf numFmtId="0" fontId="0" fillId="0" borderId="12" xfId="9" applyFont="1" applyBorder="1"/>
    <xf numFmtId="0" fontId="0" fillId="0" borderId="14" xfId="9" applyFont="1" applyBorder="1" applyAlignment="1">
      <alignment horizontal="center"/>
    </xf>
    <xf numFmtId="167" fontId="0" fillId="0" borderId="7" xfId="9" applyNumberFormat="1" applyFont="1" applyBorder="1"/>
    <xf numFmtId="37" fontId="0" fillId="4" borderId="10"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4" xfId="9" applyNumberFormat="1" applyFont="1" applyBorder="1"/>
    <xf numFmtId="37" fontId="0" fillId="8" borderId="5" xfId="9" applyNumberFormat="1" applyFont="1" applyFill="1" applyBorder="1"/>
    <xf numFmtId="167" fontId="0" fillId="0" borderId="17" xfId="9" applyNumberFormat="1" applyFont="1" applyBorder="1"/>
    <xf numFmtId="168" fontId="0" fillId="5" borderId="15"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7" xfId="0" applyNumberFormat="1" applyFill="1" applyBorder="1"/>
    <xf numFmtId="167" fontId="0" fillId="0" borderId="7" xfId="9" applyNumberFormat="1" applyFont="1" applyBorder="1" applyAlignment="1">
      <alignment horizontal="right"/>
    </xf>
    <xf numFmtId="38" fontId="0" fillId="5" borderId="10" xfId="0" applyNumberFormat="1" applyFill="1" applyBorder="1" applyAlignment="1">
      <alignment horizontal="right"/>
    </xf>
    <xf numFmtId="167" fontId="33" fillId="0" borderId="3" xfId="9" applyNumberFormat="1" applyFont="1" applyBorder="1" applyAlignment="1">
      <alignment horizontal="right"/>
    </xf>
    <xf numFmtId="38" fontId="0" fillId="5" borderId="5" xfId="0" applyNumberFormat="1" applyFill="1" applyBorder="1" applyAlignment="1">
      <alignment horizontal="center"/>
    </xf>
    <xf numFmtId="167" fontId="33" fillId="0" borderId="0" xfId="9" applyNumberFormat="1" applyFont="1" applyAlignment="1">
      <alignment horizontal="left"/>
    </xf>
    <xf numFmtId="168" fontId="33" fillId="5" borderId="12" xfId="0" applyNumberFormat="1" applyFont="1" applyFill="1" applyBorder="1"/>
    <xf numFmtId="168" fontId="0" fillId="0" borderId="7" xfId="0" applyNumberFormat="1" applyBorder="1"/>
    <xf numFmtId="167" fontId="0" fillId="0" borderId="13" xfId="9" applyNumberFormat="1" applyFont="1" applyBorder="1" applyAlignment="1">
      <alignment horizontal="right"/>
    </xf>
    <xf numFmtId="37" fontId="0" fillId="9" borderId="5" xfId="9" applyNumberFormat="1" applyFont="1" applyFill="1" applyBorder="1"/>
    <xf numFmtId="167" fontId="0" fillId="0" borderId="2" xfId="9" applyNumberFormat="1" applyFont="1" applyBorder="1" applyAlignment="1">
      <alignment horizontal="left"/>
    </xf>
    <xf numFmtId="168" fontId="33" fillId="5" borderId="2" xfId="0" applyNumberFormat="1" applyFont="1" applyFill="1" applyBorder="1"/>
    <xf numFmtId="167" fontId="0" fillId="0" borderId="14" xfId="9" applyNumberFormat="1" applyFont="1" applyBorder="1" applyAlignment="1">
      <alignment horizontal="right"/>
    </xf>
    <xf numFmtId="167" fontId="0" fillId="0" borderId="17"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3" xfId="0" applyBorder="1" applyAlignment="1">
      <alignment horizontal="center"/>
    </xf>
    <xf numFmtId="0" fontId="0" fillId="0" borderId="12" xfId="0" applyBorder="1" applyAlignment="1">
      <alignment horizontal="center"/>
    </xf>
    <xf numFmtId="0" fontId="0" fillId="0" borderId="15" xfId="0" applyBorder="1"/>
    <xf numFmtId="167" fontId="0" fillId="0" borderId="17" xfId="0" applyNumberFormat="1" applyBorder="1"/>
    <xf numFmtId="167" fontId="0" fillId="0" borderId="17" xfId="0" applyNumberFormat="1" applyBorder="1" applyAlignment="1">
      <alignment horizontal="center"/>
    </xf>
    <xf numFmtId="0" fontId="0" fillId="0" borderId="5" xfId="0" applyBorder="1" applyAlignment="1">
      <alignment horizontal="center" vertical="center"/>
    </xf>
    <xf numFmtId="0" fontId="0" fillId="0" borderId="3" xfId="0" applyBorder="1" applyAlignment="1">
      <alignment horizontal="center" vertical="center"/>
    </xf>
    <xf numFmtId="167" fontId="0" fillId="0" borderId="14" xfId="0" applyNumberFormat="1" applyBorder="1"/>
    <xf numFmtId="37" fontId="0" fillId="9" borderId="1" xfId="0" applyNumberFormat="1" applyFill="1" applyBorder="1"/>
    <xf numFmtId="37" fontId="0" fillId="9" borderId="10" xfId="0" applyNumberFormat="1" applyFill="1" applyBorder="1"/>
    <xf numFmtId="167" fontId="0" fillId="0" borderId="0" xfId="0" applyNumberFormat="1"/>
    <xf numFmtId="37" fontId="0" fillId="10" borderId="10" xfId="0" applyNumberFormat="1" applyFill="1" applyBorder="1"/>
    <xf numFmtId="37" fontId="0" fillId="4" borderId="10" xfId="0" applyNumberFormat="1" applyFill="1" applyBorder="1"/>
    <xf numFmtId="37" fontId="0" fillId="10" borderId="13" xfId="0" applyNumberFormat="1" applyFill="1" applyBorder="1"/>
    <xf numFmtId="37" fontId="0" fillId="10" borderId="15" xfId="0" applyNumberFormat="1" applyFill="1" applyBorder="1"/>
    <xf numFmtId="37" fontId="0" fillId="4" borderId="15" xfId="0" applyNumberFormat="1" applyFill="1" applyBorder="1"/>
    <xf numFmtId="37" fontId="0" fillId="10" borderId="14" xfId="0" applyNumberFormat="1" applyFill="1" applyBorder="1"/>
    <xf numFmtId="37" fontId="0" fillId="10" borderId="5" xfId="0" applyNumberFormat="1" applyFill="1" applyBorder="1"/>
    <xf numFmtId="37" fontId="0" fillId="10" borderId="17" xfId="0" applyNumberFormat="1" applyFill="1" applyBorder="1"/>
    <xf numFmtId="37" fontId="0" fillId="10" borderId="1" xfId="0" applyNumberFormat="1" applyFill="1" applyBorder="1"/>
    <xf numFmtId="37" fontId="0" fillId="9" borderId="9" xfId="0" applyNumberFormat="1" applyFill="1" applyBorder="1"/>
    <xf numFmtId="37" fontId="0" fillId="10" borderId="8"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8" xfId="0" applyNumberFormat="1" applyBorder="1"/>
    <xf numFmtId="167" fontId="0" fillId="0" borderId="13" xfId="9" applyNumberFormat="1" applyFont="1" applyBorder="1"/>
    <xf numFmtId="37" fontId="0" fillId="9" borderId="5" xfId="0" applyNumberFormat="1" applyFill="1" applyBorder="1"/>
    <xf numFmtId="37" fontId="0" fillId="9" borderId="12" xfId="0" applyNumberFormat="1" applyFill="1" applyBorder="1"/>
    <xf numFmtId="37" fontId="0" fillId="9" borderId="2" xfId="0" applyNumberFormat="1" applyFill="1" applyBorder="1"/>
    <xf numFmtId="37" fontId="0" fillId="9" borderId="16" xfId="0" applyNumberFormat="1" applyFill="1" applyBorder="1"/>
    <xf numFmtId="37" fontId="49" fillId="4" borderId="10" xfId="0" applyNumberFormat="1" applyFont="1" applyFill="1" applyBorder="1"/>
    <xf numFmtId="49" fontId="0" fillId="0" borderId="3" xfId="0" applyNumberFormat="1" applyBorder="1" applyAlignment="1">
      <alignment horizontal="centerContinuous"/>
    </xf>
    <xf numFmtId="0" fontId="5" fillId="0" borderId="0" xfId="0" applyFont="1" applyAlignment="1">
      <alignment horizontal="centerContinuous"/>
    </xf>
    <xf numFmtId="37" fontId="49" fillId="0" borderId="3" xfId="0" applyNumberFormat="1" applyFont="1" applyBorder="1"/>
    <xf numFmtId="49" fontId="31" fillId="6" borderId="0" xfId="6" applyNumberFormat="1" applyFont="1" applyFill="1" applyProtection="1"/>
    <xf numFmtId="0" fontId="31"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1" fillId="4" borderId="0" xfId="0" applyFont="1" applyFill="1"/>
    <xf numFmtId="0" fontId="0" fillId="0" borderId="0" xfId="0" quotePrefix="1"/>
    <xf numFmtId="37" fontId="49" fillId="0" borderId="11" xfId="0" applyNumberFormat="1" applyFont="1" applyBorder="1"/>
    <xf numFmtId="37" fontId="49" fillId="4" borderId="18" xfId="0" applyNumberFormat="1" applyFont="1" applyFill="1" applyBorder="1"/>
    <xf numFmtId="37" fontId="0" fillId="0" borderId="0" xfId="0" applyNumberFormat="1" applyAlignment="1">
      <alignment horizontal="right"/>
    </xf>
    <xf numFmtId="0" fontId="6" fillId="0" borderId="10" xfId="0" applyFont="1" applyBorder="1" applyAlignment="1">
      <alignment horizontal="center" wrapText="1"/>
    </xf>
    <xf numFmtId="0" fontId="6" fillId="0" borderId="15" xfId="0" applyFont="1" applyBorder="1" applyAlignment="1">
      <alignment horizontal="center" wrapText="1"/>
    </xf>
    <xf numFmtId="0" fontId="6" fillId="0" borderId="5" xfId="0" applyFont="1" applyBorder="1" applyAlignment="1">
      <alignment horizontal="center" wrapText="1"/>
    </xf>
    <xf numFmtId="37" fontId="49" fillId="4" borderId="11" xfId="0" applyNumberFormat="1" applyFont="1" applyFill="1" applyBorder="1"/>
    <xf numFmtId="0" fontId="58" fillId="6" borderId="0" xfId="6" applyFont="1" applyFill="1" applyProtection="1"/>
    <xf numFmtId="37" fontId="0" fillId="8" borderId="12" xfId="0" applyNumberFormat="1" applyFill="1" applyBorder="1"/>
    <xf numFmtId="37" fontId="0" fillId="8" borderId="7" xfId="0" applyNumberFormat="1" applyFill="1" applyBorder="1"/>
    <xf numFmtId="37" fontId="0" fillId="8" borderId="13" xfId="0" applyNumberFormat="1" applyFill="1" applyBorder="1"/>
    <xf numFmtId="37" fontId="0" fillId="8" borderId="10" xfId="0" applyNumberFormat="1" applyFill="1" applyBorder="1"/>
    <xf numFmtId="0" fontId="31" fillId="0" borderId="0" xfId="6" applyFont="1" applyProtection="1"/>
    <xf numFmtId="0" fontId="8" fillId="6" borderId="0" xfId="6" applyFill="1" applyProtection="1"/>
    <xf numFmtId="0" fontId="7" fillId="0" borderId="0" xfId="0" applyFont="1"/>
    <xf numFmtId="37" fontId="0" fillId="0" borderId="19" xfId="0" applyNumberFormat="1" applyBorder="1"/>
    <xf numFmtId="49" fontId="17" fillId="0" borderId="0" xfId="0" applyNumberFormat="1" applyFont="1" applyAlignment="1">
      <alignment horizontal="right"/>
    </xf>
    <xf numFmtId="3" fontId="49" fillId="0" borderId="4" xfId="0" applyNumberFormat="1" applyFont="1" applyBorder="1"/>
    <xf numFmtId="0" fontId="31" fillId="0" borderId="0" xfId="0" applyFont="1"/>
    <xf numFmtId="3" fontId="49" fillId="4" borderId="7"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49" fillId="4" borderId="19" xfId="0" applyNumberFormat="1" applyFont="1" applyFill="1" applyBorder="1"/>
    <xf numFmtId="0" fontId="14" fillId="0" borderId="0" xfId="0" applyFont="1"/>
    <xf numFmtId="0" fontId="49" fillId="0" borderId="7" xfId="0" applyFont="1" applyBorder="1"/>
    <xf numFmtId="49" fontId="0" fillId="0" borderId="0" xfId="0" applyNumberFormat="1"/>
    <xf numFmtId="0" fontId="31" fillId="0" borderId="0" xfId="6" applyFont="1" applyFill="1" applyProtection="1"/>
    <xf numFmtId="0" fontId="33" fillId="0" borderId="0" xfId="6" applyFont="1" applyFill="1" applyProtection="1"/>
    <xf numFmtId="0" fontId="12" fillId="6" borderId="1" xfId="6" applyFont="1" applyFill="1" applyBorder="1" applyAlignment="1" applyProtection="1">
      <alignment horizontal="center" wrapText="1"/>
    </xf>
    <xf numFmtId="0" fontId="12" fillId="6" borderId="10" xfId="6" applyFont="1" applyFill="1" applyBorder="1" applyAlignment="1" applyProtection="1">
      <alignment horizontal="center" wrapText="1"/>
    </xf>
    <xf numFmtId="37" fontId="0" fillId="0" borderId="20" xfId="0" applyNumberFormat="1" applyBorder="1"/>
    <xf numFmtId="37" fontId="0" fillId="0" borderId="18" xfId="0" applyNumberFormat="1" applyBorder="1"/>
    <xf numFmtId="0" fontId="0" fillId="0" borderId="14" xfId="0" applyBorder="1" applyAlignment="1">
      <alignment horizontal="center"/>
    </xf>
    <xf numFmtId="37" fontId="49" fillId="8" borderId="1" xfId="0" applyNumberFormat="1" applyFont="1" applyFill="1" applyBorder="1"/>
    <xf numFmtId="37" fontId="0" fillId="7" borderId="10" xfId="0" applyNumberFormat="1" applyFill="1" applyBorder="1"/>
    <xf numFmtId="0" fontId="0" fillId="4" borderId="0" xfId="6" applyFont="1" applyFill="1" applyProtection="1"/>
    <xf numFmtId="37" fontId="0" fillId="7" borderId="11" xfId="0" applyNumberFormat="1" applyFill="1" applyBorder="1"/>
    <xf numFmtId="37" fontId="0" fillId="7" borderId="18" xfId="0" applyNumberFormat="1" applyFill="1" applyBorder="1"/>
    <xf numFmtId="49" fontId="33" fillId="0" borderId="0" xfId="0" applyNumberFormat="1" applyFont="1" applyAlignment="1">
      <alignment horizontal="right"/>
    </xf>
    <xf numFmtId="49" fontId="33" fillId="0" borderId="0" xfId="0" applyNumberFormat="1" applyFont="1"/>
    <xf numFmtId="37" fontId="49" fillId="4" borderId="21" xfId="0" applyNumberFormat="1" applyFont="1" applyFill="1" applyBorder="1"/>
    <xf numFmtId="49" fontId="0" fillId="0" borderId="3" xfId="0" applyNumberFormat="1" applyBorder="1"/>
    <xf numFmtId="168" fontId="5" fillId="5" borderId="0" xfId="0" applyNumberFormat="1" applyFont="1" applyFill="1"/>
    <xf numFmtId="168" fontId="30" fillId="0" borderId="0" xfId="6" applyNumberFormat="1" applyFont="1" applyFill="1" applyProtection="1"/>
    <xf numFmtId="168" fontId="16" fillId="0" borderId="2" xfId="6" applyNumberFormat="1" applyFont="1" applyFill="1" applyBorder="1" applyProtection="1"/>
    <xf numFmtId="168" fontId="33" fillId="5" borderId="0" xfId="0" applyNumberFormat="1" applyFont="1" applyFill="1"/>
    <xf numFmtId="168" fontId="0" fillId="0" borderId="10" xfId="0" applyNumberFormat="1" applyBorder="1" applyAlignment="1">
      <alignment horizontal="center"/>
    </xf>
    <xf numFmtId="2" fontId="0" fillId="0" borderId="10" xfId="0" applyNumberFormat="1" applyBorder="1" applyAlignment="1">
      <alignment horizontal="center"/>
    </xf>
    <xf numFmtId="49" fontId="0" fillId="0" borderId="10" xfId="0" applyNumberFormat="1" applyBorder="1" applyAlignment="1">
      <alignment horizontal="center" wrapText="1"/>
    </xf>
    <xf numFmtId="49" fontId="31" fillId="6" borderId="0" xfId="0" applyNumberFormat="1" applyFont="1" applyFill="1" applyAlignment="1">
      <alignment horizontal="center" wrapText="1"/>
    </xf>
    <xf numFmtId="1" fontId="0" fillId="0" borderId="2" xfId="0" applyNumberFormat="1" applyBorder="1" applyAlignment="1">
      <alignment wrapText="1"/>
    </xf>
    <xf numFmtId="168" fontId="0" fillId="0" borderId="15" xfId="0" applyNumberFormat="1" applyBorder="1" applyAlignment="1">
      <alignment horizontal="center"/>
    </xf>
    <xf numFmtId="2" fontId="0" fillId="0" borderId="15" xfId="0" applyNumberFormat="1" applyBorder="1" applyAlignment="1">
      <alignment horizontal="center"/>
    </xf>
    <xf numFmtId="49" fontId="0" fillId="0" borderId="15" xfId="0" applyNumberFormat="1" applyBorder="1" applyAlignment="1">
      <alignment horizontal="center" wrapText="1"/>
    </xf>
    <xf numFmtId="1" fontId="33" fillId="0" borderId="2" xfId="0" applyNumberFormat="1" applyFont="1" applyBorder="1" applyAlignment="1">
      <alignment wrapText="1"/>
    </xf>
    <xf numFmtId="1" fontId="0" fillId="0" borderId="15" xfId="0" applyNumberFormat="1" applyBorder="1" applyAlignment="1">
      <alignment horizontal="center"/>
    </xf>
    <xf numFmtId="1" fontId="0" fillId="0" borderId="15" xfId="0" applyNumberFormat="1" applyBorder="1" applyAlignment="1">
      <alignment horizontal="center" wrapText="1"/>
    </xf>
    <xf numFmtId="2" fontId="31" fillId="6" borderId="0" xfId="6" applyNumberFormat="1" applyFont="1" applyFill="1" applyBorder="1" applyAlignment="1" applyProtection="1">
      <alignment horizontal="center"/>
    </xf>
    <xf numFmtId="168" fontId="5" fillId="0" borderId="0" xfId="0" applyNumberFormat="1" applyFont="1" applyAlignment="1">
      <alignment horizontal="left"/>
    </xf>
    <xf numFmtId="1" fontId="31"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1" fillId="0" borderId="0" xfId="0" applyNumberFormat="1" applyFont="1"/>
    <xf numFmtId="37" fontId="0" fillId="0" borderId="10"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3" fillId="0" borderId="0" xfId="0" applyNumberFormat="1" applyFont="1" applyAlignment="1">
      <alignment horizontal="left"/>
    </xf>
    <xf numFmtId="168" fontId="18" fillId="5" borderId="0" xfId="0" applyNumberFormat="1" applyFont="1" applyFill="1"/>
    <xf numFmtId="168" fontId="0" fillId="5" borderId="10" xfId="0" applyNumberFormat="1" applyFill="1" applyBorder="1" applyAlignment="1">
      <alignment horizontal="center"/>
    </xf>
    <xf numFmtId="168" fontId="31" fillId="6" borderId="10" xfId="0" applyNumberFormat="1" applyFont="1" applyFill="1" applyBorder="1"/>
    <xf numFmtId="168" fontId="34" fillId="5" borderId="0" xfId="0" applyNumberFormat="1" applyFont="1" applyFill="1"/>
    <xf numFmtId="168" fontId="31" fillId="6" borderId="0" xfId="6" applyNumberFormat="1" applyFont="1" applyFill="1" applyBorder="1" applyProtection="1"/>
    <xf numFmtId="49" fontId="18" fillId="5" borderId="0" xfId="0" applyNumberFormat="1" applyFont="1" applyFill="1" applyAlignment="1">
      <alignment horizontal="right"/>
    </xf>
    <xf numFmtId="168" fontId="31" fillId="6" borderId="15" xfId="0" applyNumberFormat="1" applyFont="1" applyFill="1" applyBorder="1"/>
    <xf numFmtId="49" fontId="0" fillId="5" borderId="0" xfId="0" applyNumberFormat="1" applyFill="1" applyAlignment="1">
      <alignment horizontal="right"/>
    </xf>
    <xf numFmtId="168" fontId="31" fillId="6" borderId="15" xfId="6" applyNumberFormat="1" applyFont="1" applyFill="1" applyBorder="1" applyAlignment="1" applyProtection="1">
      <alignment horizontal="center"/>
    </xf>
    <xf numFmtId="168" fontId="0" fillId="5" borderId="5" xfId="0" applyNumberFormat="1" applyFill="1" applyBorder="1" applyAlignment="1">
      <alignment horizontal="center"/>
    </xf>
    <xf numFmtId="168" fontId="31" fillId="6" borderId="5" xfId="6" applyNumberFormat="1" applyFont="1" applyFill="1" applyBorder="1" applyAlignment="1" applyProtection="1">
      <alignment horizontal="center"/>
    </xf>
    <xf numFmtId="168" fontId="0" fillId="5" borderId="14"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3"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1" fillId="6" borderId="0" xfId="6" applyNumberFormat="1" applyFont="1" applyFill="1" applyProtection="1"/>
    <xf numFmtId="168" fontId="34" fillId="6" borderId="0" xfId="0" applyNumberFormat="1" applyFont="1" applyFill="1"/>
    <xf numFmtId="168" fontId="0" fillId="0" borderId="5" xfId="0" applyNumberFormat="1" applyBorder="1" applyAlignment="1">
      <alignment horizontal="center"/>
    </xf>
    <xf numFmtId="168" fontId="33" fillId="5" borderId="0" xfId="0" quotePrefix="1" applyNumberFormat="1" applyFont="1" applyFill="1" applyAlignment="1">
      <alignment horizontal="right"/>
    </xf>
    <xf numFmtId="49" fontId="29" fillId="5" borderId="0" xfId="0" applyNumberFormat="1" applyFont="1" applyFill="1" applyAlignment="1">
      <alignment horizontal="left"/>
    </xf>
    <xf numFmtId="168" fontId="34" fillId="0" borderId="0" xfId="0" applyNumberFormat="1" applyFont="1" applyAlignment="1">
      <alignment vertical="top" wrapText="1"/>
    </xf>
    <xf numFmtId="168" fontId="40"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2" fillId="0" borderId="0" xfId="10" applyFont="1" applyAlignment="1">
      <alignment horizontal="right"/>
    </xf>
    <xf numFmtId="168" fontId="29" fillId="5" borderId="0" xfId="10" applyNumberFormat="1" applyFont="1" applyFill="1"/>
    <xf numFmtId="168" fontId="29" fillId="0" borderId="0" xfId="10" applyNumberFormat="1" applyFont="1"/>
    <xf numFmtId="0" fontId="0" fillId="0" borderId="3" xfId="11" applyFont="1" applyBorder="1" applyAlignment="1">
      <alignment horizontal="center"/>
    </xf>
    <xf numFmtId="0" fontId="29" fillId="0" borderId="0" xfId="10" applyFont="1" applyAlignment="1">
      <alignment horizontal="center"/>
    </xf>
    <xf numFmtId="168" fontId="52" fillId="5" borderId="0" xfId="10" applyNumberFormat="1" applyFont="1" applyFill="1" applyAlignment="1">
      <alignment horizontal="center"/>
    </xf>
    <xf numFmtId="168" fontId="5" fillId="5" borderId="0" xfId="10" applyNumberFormat="1" applyFont="1" applyFill="1" applyAlignment="1">
      <alignment horizontal="center"/>
    </xf>
    <xf numFmtId="168" fontId="33" fillId="5" borderId="0" xfId="10" applyNumberFormat="1" applyFont="1" applyFill="1"/>
    <xf numFmtId="168" fontId="33" fillId="0" borderId="0" xfId="10" applyNumberFormat="1" applyFont="1"/>
    <xf numFmtId="0" fontId="33" fillId="0" borderId="0" xfId="10" applyFont="1"/>
    <xf numFmtId="0" fontId="52" fillId="0" borderId="0" xfId="10" applyFont="1" applyAlignment="1">
      <alignment horizontal="left"/>
    </xf>
    <xf numFmtId="0" fontId="29" fillId="0" borderId="0" xfId="10" applyFont="1"/>
    <xf numFmtId="14" fontId="29" fillId="5" borderId="0" xfId="10" applyNumberFormat="1" applyFont="1" applyFill="1" applyAlignment="1">
      <alignment horizontal="left"/>
    </xf>
    <xf numFmtId="168" fontId="29" fillId="5" borderId="13" xfId="10" applyNumberFormat="1" applyFont="1" applyFill="1" applyBorder="1"/>
    <xf numFmtId="168" fontId="52" fillId="5" borderId="1" xfId="10" applyNumberFormat="1" applyFont="1" applyFill="1" applyBorder="1" applyAlignment="1">
      <alignment horizontal="center"/>
    </xf>
    <xf numFmtId="168" fontId="29" fillId="0" borderId="10" xfId="10" applyNumberFormat="1" applyFont="1" applyBorder="1" applyAlignment="1">
      <alignment horizontal="center"/>
    </xf>
    <xf numFmtId="2" fontId="29" fillId="0" borderId="10" xfId="10" applyNumberFormat="1" applyFont="1" applyBorder="1" applyAlignment="1">
      <alignment horizontal="center"/>
    </xf>
    <xf numFmtId="49" fontId="52" fillId="6" borderId="10" xfId="10" applyNumberFormat="1" applyFont="1" applyFill="1" applyBorder="1" applyAlignment="1">
      <alignment horizontal="center" wrapText="1"/>
    </xf>
    <xf numFmtId="168" fontId="29" fillId="0" borderId="15" xfId="10" applyNumberFormat="1" applyFont="1" applyBorder="1" applyAlignment="1">
      <alignment horizontal="center"/>
    </xf>
    <xf numFmtId="2" fontId="29" fillId="0" borderId="15" xfId="10" applyNumberFormat="1" applyFont="1" applyBorder="1" applyAlignment="1">
      <alignment horizontal="center"/>
    </xf>
    <xf numFmtId="49" fontId="29" fillId="0" borderId="15" xfId="10" applyNumberFormat="1" applyFont="1" applyBorder="1" applyAlignment="1">
      <alignment horizontal="center" wrapText="1"/>
    </xf>
    <xf numFmtId="49" fontId="52" fillId="6" borderId="15" xfId="10" applyNumberFormat="1" applyFont="1" applyFill="1" applyBorder="1" applyAlignment="1">
      <alignment horizontal="center" wrapText="1"/>
    </xf>
    <xf numFmtId="165" fontId="0" fillId="5" borderId="15" xfId="10" applyNumberFormat="1" applyFont="1" applyFill="1" applyBorder="1" applyAlignment="1">
      <alignment horizontal="center"/>
    </xf>
    <xf numFmtId="1" fontId="29" fillId="0" borderId="15" xfId="10" applyNumberFormat="1" applyFont="1" applyBorder="1" applyAlignment="1">
      <alignment horizontal="center"/>
    </xf>
    <xf numFmtId="0" fontId="12" fillId="6" borderId="0" xfId="6" applyFont="1" applyFill="1" applyAlignment="1" applyProtection="1">
      <alignment horizontal="center" vertical="center"/>
    </xf>
    <xf numFmtId="1" fontId="29" fillId="0" borderId="5" xfId="10" applyNumberFormat="1" applyFont="1" applyBorder="1" applyAlignment="1">
      <alignment horizontal="center"/>
    </xf>
    <xf numFmtId="165" fontId="0" fillId="5" borderId="5" xfId="10" applyNumberFormat="1" applyFont="1" applyFill="1" applyBorder="1" applyAlignment="1">
      <alignment horizontal="center"/>
    </xf>
    <xf numFmtId="168" fontId="29" fillId="5" borderId="12" xfId="10" applyNumberFormat="1" applyFont="1" applyFill="1" applyBorder="1" applyAlignment="1">
      <alignment horizontal="left"/>
    </xf>
    <xf numFmtId="168" fontId="29" fillId="5" borderId="7" xfId="10" applyNumberFormat="1" applyFont="1" applyFill="1" applyBorder="1" applyAlignment="1">
      <alignment horizontal="left"/>
    </xf>
    <xf numFmtId="168" fontId="29" fillId="5" borderId="13" xfId="10" quotePrefix="1" applyNumberFormat="1" applyFont="1" applyFill="1" applyBorder="1" applyAlignment="1">
      <alignment horizontal="right"/>
    </xf>
    <xf numFmtId="37" fontId="29" fillId="0" borderId="1" xfId="10" applyNumberFormat="1" applyFont="1" applyBorder="1" applyAlignment="1">
      <alignment horizontal="right" vertical="center"/>
    </xf>
    <xf numFmtId="37" fontId="29" fillId="8" borderId="1" xfId="10" applyNumberFormat="1" applyFont="1" applyFill="1" applyBorder="1" applyAlignment="1">
      <alignment horizontal="right" vertical="center"/>
    </xf>
    <xf numFmtId="37" fontId="52" fillId="0" borderId="1" xfId="10" applyNumberFormat="1" applyFont="1" applyBorder="1" applyAlignment="1">
      <alignment horizontal="right" vertical="center"/>
    </xf>
    <xf numFmtId="168" fontId="29" fillId="5" borderId="0" xfId="10" quotePrefix="1" applyNumberFormat="1" applyFont="1" applyFill="1" applyAlignment="1">
      <alignment horizontal="left"/>
    </xf>
    <xf numFmtId="168" fontId="29" fillId="5" borderId="2" xfId="10" applyNumberFormat="1" applyFont="1" applyFill="1" applyBorder="1" applyAlignment="1">
      <alignment horizontal="left"/>
    </xf>
    <xf numFmtId="168" fontId="29" fillId="5" borderId="14"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3" fillId="11" borderId="0" xfId="10" applyNumberFormat="1" applyFont="1" applyFill="1"/>
    <xf numFmtId="1" fontId="29" fillId="5" borderId="2" xfId="10" applyNumberFormat="1" applyFont="1" applyFill="1" applyBorder="1" applyAlignment="1">
      <alignment horizontal="left"/>
    </xf>
    <xf numFmtId="1" fontId="29" fillId="5" borderId="0" xfId="10" applyNumberFormat="1" applyFont="1" applyFill="1" applyAlignment="1">
      <alignment horizontal="left"/>
    </xf>
    <xf numFmtId="49" fontId="29" fillId="5" borderId="14" xfId="10" quotePrefix="1" applyNumberFormat="1" applyFont="1" applyFill="1" applyBorder="1" applyAlignment="1">
      <alignment horizontal="right"/>
    </xf>
    <xf numFmtId="49" fontId="29" fillId="5" borderId="0" xfId="10" quotePrefix="1" applyNumberFormat="1" applyFont="1" applyFill="1" applyAlignment="1">
      <alignment horizontal="left"/>
    </xf>
    <xf numFmtId="168" fontId="29" fillId="0" borderId="2" xfId="10" applyNumberFormat="1" applyFont="1" applyBorder="1" applyAlignment="1">
      <alignment horizontal="left"/>
    </xf>
    <xf numFmtId="168" fontId="29" fillId="0" borderId="0" xfId="10" applyNumberFormat="1" applyFont="1" applyAlignment="1">
      <alignment horizontal="left"/>
    </xf>
    <xf numFmtId="0" fontId="51" fillId="6" borderId="2" xfId="6" applyFont="1" applyFill="1" applyBorder="1" applyProtection="1"/>
    <xf numFmtId="168" fontId="29" fillId="6" borderId="0" xfId="10" applyNumberFormat="1" applyFont="1" applyFill="1" applyAlignment="1">
      <alignment horizontal="left"/>
    </xf>
    <xf numFmtId="49" fontId="29" fillId="6" borderId="14" xfId="10" quotePrefix="1" applyNumberFormat="1" applyFont="1" applyFill="1" applyBorder="1" applyAlignment="1">
      <alignment horizontal="right"/>
    </xf>
    <xf numFmtId="168" fontId="29" fillId="0" borderId="16" xfId="10" applyNumberFormat="1" applyFont="1" applyBorder="1" applyAlignment="1">
      <alignment horizontal="left"/>
    </xf>
    <xf numFmtId="168" fontId="29" fillId="0" borderId="3" xfId="10" applyNumberFormat="1" applyFont="1" applyBorder="1" applyAlignment="1">
      <alignment horizontal="left"/>
    </xf>
    <xf numFmtId="49" fontId="29" fillId="5" borderId="17" xfId="10" quotePrefix="1" applyNumberFormat="1" applyFont="1" applyFill="1" applyBorder="1" applyAlignment="1">
      <alignment horizontal="right"/>
    </xf>
    <xf numFmtId="37" fontId="52" fillId="0" borderId="1" xfId="10" applyNumberFormat="1" applyFont="1" applyBorder="1"/>
    <xf numFmtId="49" fontId="29" fillId="5" borderId="0" xfId="10" quotePrefix="1" applyNumberFormat="1" applyFont="1" applyFill="1" applyAlignment="1">
      <alignment horizontal="right"/>
    </xf>
    <xf numFmtId="0" fontId="54" fillId="6" borderId="9" xfId="6" applyFont="1" applyFill="1" applyBorder="1" applyProtection="1"/>
    <xf numFmtId="0" fontId="5" fillId="6" borderId="4" xfId="10" applyFont="1" applyFill="1" applyBorder="1"/>
    <xf numFmtId="0" fontId="5" fillId="6" borderId="8" xfId="10" applyFont="1" applyFill="1" applyBorder="1"/>
    <xf numFmtId="168" fontId="52" fillId="5" borderId="9" xfId="10" applyNumberFormat="1" applyFont="1" applyFill="1" applyBorder="1"/>
    <xf numFmtId="168" fontId="52" fillId="5" borderId="4" xfId="10" applyNumberFormat="1" applyFont="1" applyFill="1" applyBorder="1"/>
    <xf numFmtId="168" fontId="29" fillId="5" borderId="8" xfId="10" applyNumberFormat="1" applyFont="1" applyFill="1" applyBorder="1" applyAlignment="1">
      <alignment horizontal="center"/>
    </xf>
    <xf numFmtId="168" fontId="29" fillId="5" borderId="16" xfId="10" applyNumberFormat="1" applyFont="1" applyFill="1" applyBorder="1"/>
    <xf numFmtId="168" fontId="29" fillId="5" borderId="3" xfId="10" applyNumberFormat="1" applyFont="1" applyFill="1" applyBorder="1"/>
    <xf numFmtId="168" fontId="29" fillId="5" borderId="17" xfId="10" applyNumberFormat="1" applyFont="1" applyFill="1" applyBorder="1"/>
    <xf numFmtId="168" fontId="29" fillId="5" borderId="9" xfId="10" applyNumberFormat="1" applyFont="1" applyFill="1" applyBorder="1"/>
    <xf numFmtId="168" fontId="29" fillId="5" borderId="4" xfId="10" applyNumberFormat="1" applyFont="1" applyFill="1" applyBorder="1"/>
    <xf numFmtId="168" fontId="29" fillId="5" borderId="8" xfId="10" applyNumberFormat="1" applyFont="1" applyFill="1" applyBorder="1"/>
    <xf numFmtId="0" fontId="29" fillId="0" borderId="9" xfId="10" applyFont="1" applyBorder="1"/>
    <xf numFmtId="0" fontId="29" fillId="0" borderId="4" xfId="10" applyFont="1" applyBorder="1"/>
    <xf numFmtId="168" fontId="29" fillId="0" borderId="8" xfId="10" applyNumberFormat="1" applyFont="1" applyBorder="1"/>
    <xf numFmtId="37" fontId="29" fillId="5" borderId="1" xfId="10" applyNumberFormat="1" applyFont="1" applyFill="1" applyBorder="1"/>
    <xf numFmtId="168" fontId="29" fillId="0" borderId="9" xfId="10" applyNumberFormat="1" applyFont="1" applyBorder="1"/>
    <xf numFmtId="168" fontId="29" fillId="0" borderId="4" xfId="10" applyNumberFormat="1" applyFont="1" applyBorder="1"/>
    <xf numFmtId="168" fontId="29" fillId="5" borderId="12" xfId="10" applyNumberFormat="1" applyFont="1" applyFill="1" applyBorder="1"/>
    <xf numFmtId="168" fontId="29" fillId="5" borderId="7" xfId="10" applyNumberFormat="1" applyFont="1" applyFill="1" applyBorder="1"/>
    <xf numFmtId="168" fontId="29" fillId="0" borderId="13" xfId="10" applyNumberFormat="1" applyFont="1" applyBorder="1"/>
    <xf numFmtId="0" fontId="51" fillId="6" borderId="9" xfId="6" applyFont="1" applyFill="1" applyBorder="1" applyProtection="1"/>
    <xf numFmtId="168" fontId="29" fillId="6" borderId="4" xfId="10" applyNumberFormat="1" applyFont="1" applyFill="1" applyBorder="1"/>
    <xf numFmtId="168" fontId="29" fillId="6" borderId="8" xfId="10" applyNumberFormat="1" applyFont="1" applyFill="1" applyBorder="1"/>
    <xf numFmtId="38" fontId="29" fillId="0" borderId="0" xfId="10" applyNumberFormat="1" applyFont="1" applyAlignment="1">
      <alignment horizontal="right" vertical="center"/>
    </xf>
    <xf numFmtId="168" fontId="29" fillId="5" borderId="0" xfId="10" quotePrefix="1" applyNumberFormat="1" applyFont="1" applyFill="1"/>
    <xf numFmtId="168" fontId="29" fillId="5" borderId="9" xfId="10" quotePrefix="1" applyNumberFormat="1" applyFont="1" applyFill="1" applyBorder="1"/>
    <xf numFmtId="37" fontId="29" fillId="0" borderId="1" xfId="10" applyNumberFormat="1" applyFont="1" applyBorder="1" applyAlignment="1">
      <alignment horizontal="right"/>
    </xf>
    <xf numFmtId="0" fontId="29" fillId="0" borderId="0" xfId="4" quotePrefix="1" applyNumberFormat="1" applyFont="1" applyFill="1" applyBorder="1" applyAlignment="1" applyProtection="1">
      <alignment horizontal="left"/>
    </xf>
    <xf numFmtId="168" fontId="29" fillId="0" borderId="0" xfId="10" applyNumberFormat="1" applyFont="1" applyAlignment="1">
      <alignment wrapText="1"/>
    </xf>
    <xf numFmtId="0" fontId="43" fillId="0" borderId="0" xfId="4" quotePrefix="1" applyNumberFormat="1" applyFont="1" applyFill="1" applyBorder="1" applyAlignment="1" applyProtection="1">
      <alignment vertical="center" wrapText="1"/>
    </xf>
    <xf numFmtId="168" fontId="43" fillId="4" borderId="0" xfId="10" applyNumberFormat="1" applyFont="1" applyFill="1" applyAlignment="1">
      <alignment vertical="center" wrapText="1"/>
    </xf>
    <xf numFmtId="168" fontId="43" fillId="0" borderId="0" xfId="10" applyNumberFormat="1" applyFont="1" applyAlignment="1">
      <alignment wrapText="1"/>
    </xf>
    <xf numFmtId="37" fontId="52" fillId="0" borderId="1" xfId="10" applyNumberFormat="1" applyFont="1" applyBorder="1" applyAlignment="1">
      <alignment horizontal="right"/>
    </xf>
    <xf numFmtId="168" fontId="29" fillId="0" borderId="0" xfId="10" applyNumberFormat="1" applyFont="1" applyAlignment="1">
      <alignment horizontal="right"/>
    </xf>
    <xf numFmtId="0" fontId="0" fillId="0" borderId="0" xfId="10" applyFont="1" applyAlignment="1">
      <alignment vertical="top"/>
    </xf>
    <xf numFmtId="0" fontId="33" fillId="0" borderId="0" xfId="10" applyFont="1" applyAlignment="1">
      <alignment vertical="top"/>
    </xf>
    <xf numFmtId="37" fontId="29" fillId="0" borderId="1" xfId="4" applyNumberFormat="1" applyFont="1" applyBorder="1" applyProtection="1">
      <protection locked="0"/>
    </xf>
    <xf numFmtId="172" fontId="29" fillId="0" borderId="1" xfId="4" applyNumberFormat="1" applyFont="1" applyBorder="1" applyProtection="1">
      <protection locked="0"/>
    </xf>
    <xf numFmtId="37" fontId="29" fillId="0" borderId="1" xfId="4" applyNumberFormat="1" applyFont="1" applyBorder="1" applyProtection="1"/>
    <xf numFmtId="0" fontId="5" fillId="0" borderId="0" xfId="13" applyFont="1"/>
    <xf numFmtId="0" fontId="63" fillId="0" borderId="0" xfId="13"/>
    <xf numFmtId="168" fontId="5" fillId="5" borderId="0" xfId="13" applyNumberFormat="1" applyFont="1" applyFill="1" applyAlignment="1">
      <alignment horizontal="left"/>
    </xf>
    <xf numFmtId="0" fontId="12" fillId="6" borderId="0" xfId="6" applyFont="1" applyFill="1" applyAlignment="1" applyProtection="1">
      <alignment horizontal="right"/>
    </xf>
    <xf numFmtId="0" fontId="63" fillId="0" borderId="0" xfId="13" applyAlignment="1">
      <alignment horizontal="right" vertical="center"/>
    </xf>
    <xf numFmtId="37" fontId="27" fillId="5" borderId="0" xfId="13" applyNumberFormat="1" applyFont="1" applyFill="1" applyAlignment="1">
      <alignment horizontal="left" vertical="center"/>
    </xf>
    <xf numFmtId="168" fontId="63" fillId="5" borderId="22" xfId="13" applyNumberFormat="1" applyFill="1" applyBorder="1"/>
    <xf numFmtId="168" fontId="63" fillId="6" borderId="22" xfId="13" applyNumberFormat="1" applyFill="1" applyBorder="1"/>
    <xf numFmtId="168" fontId="51" fillId="6" borderId="22" xfId="6" applyNumberFormat="1" applyFont="1" applyFill="1" applyBorder="1" applyAlignment="1" applyProtection="1">
      <alignment horizontal="center"/>
    </xf>
    <xf numFmtId="37" fontId="47" fillId="0" borderId="23" xfId="13" applyNumberFormat="1" applyFont="1" applyBorder="1" applyAlignment="1">
      <alignment horizontal="center"/>
    </xf>
    <xf numFmtId="37" fontId="47" fillId="0" borderId="10" xfId="13" applyNumberFormat="1" applyFont="1" applyBorder="1" applyAlignment="1">
      <alignment horizontal="center"/>
    </xf>
    <xf numFmtId="37" fontId="47" fillId="5" borderId="24" xfId="13" applyNumberFormat="1" applyFont="1" applyFill="1" applyBorder="1" applyAlignment="1">
      <alignment horizontal="center"/>
    </xf>
    <xf numFmtId="37" fontId="47" fillId="5" borderId="25" xfId="13" applyNumberFormat="1" applyFont="1" applyFill="1" applyBorder="1" applyAlignment="1">
      <alignment horizontal="left"/>
    </xf>
    <xf numFmtId="37" fontId="51" fillId="6" borderId="25" xfId="6" applyNumberFormat="1" applyFont="1" applyFill="1" applyBorder="1" applyAlignment="1" applyProtection="1">
      <alignment horizontal="center" vertical="center"/>
    </xf>
    <xf numFmtId="37" fontId="51" fillId="6" borderId="25" xfId="6" applyNumberFormat="1" applyFont="1" applyFill="1" applyBorder="1" applyAlignment="1" applyProtection="1">
      <alignment horizontal="center"/>
    </xf>
    <xf numFmtId="38" fontId="47" fillId="0" borderId="26" xfId="13" applyNumberFormat="1" applyFont="1" applyBorder="1" applyAlignment="1">
      <alignment horizontal="center"/>
    </xf>
    <xf numFmtId="37" fontId="47" fillId="0" borderId="15" xfId="13" applyNumberFormat="1" applyFont="1" applyBorder="1" applyAlignment="1">
      <alignment horizontal="center"/>
    </xf>
    <xf numFmtId="37" fontId="47" fillId="5" borderId="15" xfId="13" applyNumberFormat="1" applyFont="1" applyFill="1" applyBorder="1" applyAlignment="1">
      <alignment horizontal="center"/>
    </xf>
    <xf numFmtId="37" fontId="47" fillId="5" borderId="27" xfId="13" applyNumberFormat="1" applyFont="1" applyFill="1" applyBorder="1" applyAlignment="1">
      <alignment horizontal="center"/>
    </xf>
    <xf numFmtId="38" fontId="51" fillId="6" borderId="28" xfId="6" applyNumberFormat="1" applyFont="1" applyFill="1" applyBorder="1" applyAlignment="1" applyProtection="1">
      <alignment horizontal="center" vertical="center"/>
    </xf>
    <xf numFmtId="38" fontId="51" fillId="6" borderId="28" xfId="6" applyNumberFormat="1" applyFont="1" applyFill="1" applyBorder="1" applyAlignment="1" applyProtection="1">
      <alignment horizontal="center"/>
    </xf>
    <xf numFmtId="38" fontId="47" fillId="0" borderId="29" xfId="13" applyNumberFormat="1" applyFont="1" applyBorder="1" applyAlignment="1">
      <alignment horizontal="center"/>
    </xf>
    <xf numFmtId="37" fontId="47" fillId="0" borderId="5" xfId="13" applyNumberFormat="1" applyFont="1" applyBorder="1" applyAlignment="1">
      <alignment horizontal="center"/>
    </xf>
    <xf numFmtId="38" fontId="47" fillId="5" borderId="5" xfId="13" applyNumberFormat="1" applyFont="1" applyFill="1" applyBorder="1" applyAlignment="1">
      <alignment horizontal="center"/>
    </xf>
    <xf numFmtId="37" fontId="47" fillId="5" borderId="29" xfId="13" applyNumberFormat="1" applyFont="1" applyFill="1" applyBorder="1" applyAlignment="1">
      <alignment horizontal="left"/>
    </xf>
    <xf numFmtId="37" fontId="47" fillId="7" borderId="1" xfId="13" applyNumberFormat="1" applyFont="1" applyFill="1" applyBorder="1"/>
    <xf numFmtId="37" fontId="47" fillId="7" borderId="5" xfId="13" applyNumberFormat="1" applyFont="1" applyFill="1" applyBorder="1"/>
    <xf numFmtId="37" fontId="47" fillId="7" borderId="16" xfId="13" applyNumberFormat="1" applyFont="1" applyFill="1" applyBorder="1"/>
    <xf numFmtId="37" fontId="48" fillId="8" borderId="9" xfId="13" applyNumberFormat="1" applyFont="1" applyFill="1" applyBorder="1" applyAlignment="1">
      <alignment horizontal="center"/>
    </xf>
    <xf numFmtId="37" fontId="47" fillId="5" borderId="24" xfId="13" applyNumberFormat="1" applyFont="1" applyFill="1" applyBorder="1"/>
    <xf numFmtId="37" fontId="47" fillId="5" borderId="13" xfId="13" applyNumberFormat="1" applyFont="1" applyFill="1" applyBorder="1"/>
    <xf numFmtId="37" fontId="48" fillId="8" borderId="8" xfId="13" applyNumberFormat="1" applyFont="1" applyFill="1" applyBorder="1" applyAlignment="1">
      <alignment horizontal="center"/>
    </xf>
    <xf numFmtId="37" fontId="47" fillId="7" borderId="9" xfId="13" applyNumberFormat="1" applyFont="1" applyFill="1" applyBorder="1"/>
    <xf numFmtId="37" fontId="47" fillId="5" borderId="30" xfId="13" applyNumberFormat="1" applyFont="1" applyFill="1" applyBorder="1"/>
    <xf numFmtId="165" fontId="63" fillId="0" borderId="0" xfId="13" applyNumberFormat="1"/>
    <xf numFmtId="37" fontId="47" fillId="0" borderId="24" xfId="13" applyNumberFormat="1" applyFont="1" applyBorder="1"/>
    <xf numFmtId="37" fontId="47" fillId="5" borderId="26" xfId="13" applyNumberFormat="1" applyFont="1" applyFill="1" applyBorder="1" applyAlignment="1">
      <alignment horizontal="left"/>
    </xf>
    <xf numFmtId="37" fontId="47" fillId="7" borderId="10" xfId="13" applyNumberFormat="1" applyFont="1" applyFill="1" applyBorder="1"/>
    <xf numFmtId="37" fontId="47" fillId="7" borderId="12" xfId="13" applyNumberFormat="1" applyFont="1" applyFill="1" applyBorder="1"/>
    <xf numFmtId="37" fontId="47" fillId="0" borderId="31" xfId="13" applyNumberFormat="1" applyFont="1" applyBorder="1"/>
    <xf numFmtId="37" fontId="47" fillId="5" borderId="32" xfId="13" applyNumberFormat="1" applyFont="1" applyFill="1" applyBorder="1"/>
    <xf numFmtId="42" fontId="63" fillId="5" borderId="3" xfId="13" applyNumberFormat="1" applyFill="1" applyBorder="1"/>
    <xf numFmtId="37" fontId="47" fillId="0" borderId="1" xfId="13" applyNumberFormat="1" applyFont="1" applyBorder="1" applyAlignment="1">
      <alignment horizontal="left"/>
    </xf>
    <xf numFmtId="37" fontId="48" fillId="8" borderId="1" xfId="13" applyNumberFormat="1" applyFont="1" applyFill="1" applyBorder="1" applyAlignment="1">
      <alignment horizontal="center"/>
    </xf>
    <xf numFmtId="37" fontId="47" fillId="0" borderId="17" xfId="13" applyNumberFormat="1" applyFont="1" applyBorder="1"/>
    <xf numFmtId="37" fontId="47" fillId="5" borderId="16" xfId="13" applyNumberFormat="1" applyFont="1" applyFill="1" applyBorder="1"/>
    <xf numFmtId="37" fontId="47" fillId="7" borderId="1" xfId="13" applyNumberFormat="1" applyFont="1" applyFill="1" applyBorder="1" applyAlignment="1">
      <alignment horizontal="center"/>
    </xf>
    <xf numFmtId="37" fontId="47" fillId="0" borderId="9" xfId="13" applyNumberFormat="1" applyFont="1" applyBorder="1" applyAlignment="1">
      <alignment horizontal="left"/>
    </xf>
    <xf numFmtId="37" fontId="47" fillId="0" borderId="1" xfId="13" applyNumberFormat="1" applyFont="1" applyBorder="1"/>
    <xf numFmtId="37" fontId="47" fillId="5" borderId="1" xfId="13" applyNumberFormat="1" applyFont="1" applyFill="1" applyBorder="1"/>
    <xf numFmtId="37" fontId="47" fillId="0" borderId="8" xfId="13" applyNumberFormat="1" applyFont="1" applyBorder="1"/>
    <xf numFmtId="37" fontId="47" fillId="5" borderId="9" xfId="13" applyNumberFormat="1" applyFont="1" applyFill="1" applyBorder="1"/>
    <xf numFmtId="37" fontId="47" fillId="5" borderId="8" xfId="13" applyNumberFormat="1" applyFont="1" applyFill="1" applyBorder="1"/>
    <xf numFmtId="37" fontId="47" fillId="0" borderId="1" xfId="13" applyNumberFormat="1" applyFont="1" applyBorder="1" applyProtection="1">
      <protection locked="0"/>
    </xf>
    <xf numFmtId="0" fontId="0" fillId="0" borderId="0" xfId="11" applyFont="1" applyAlignment="1">
      <alignment horizontal="center"/>
    </xf>
    <xf numFmtId="0" fontId="29" fillId="0" borderId="0" xfId="8" applyFont="1"/>
    <xf numFmtId="37" fontId="29" fillId="0" borderId="0" xfId="8" applyNumberFormat="1" applyFont="1"/>
    <xf numFmtId="0" fontId="52" fillId="0" borderId="0" xfId="8" applyFont="1" applyAlignment="1">
      <alignment horizontal="right"/>
    </xf>
    <xf numFmtId="0" fontId="0" fillId="0" borderId="0" xfId="4" applyNumberFormat="1" applyFont="1" applyBorder="1" applyAlignment="1" applyProtection="1">
      <alignment horizontal="left" vertical="top"/>
    </xf>
    <xf numFmtId="37" fontId="29" fillId="0" borderId="0" xfId="8" applyNumberFormat="1" applyFont="1" applyAlignment="1">
      <alignment horizontal="left"/>
    </xf>
    <xf numFmtId="0" fontId="33" fillId="0" borderId="0" xfId="8" applyFont="1"/>
    <xf numFmtId="37" fontId="52" fillId="0" borderId="0" xfId="8" applyNumberFormat="1" applyFont="1" applyAlignment="1">
      <alignment horizontal="left"/>
    </xf>
    <xf numFmtId="0" fontId="52" fillId="12" borderId="1" xfId="0" applyFont="1" applyFill="1" applyBorder="1" applyAlignment="1">
      <alignment horizontal="center" wrapText="1"/>
    </xf>
    <xf numFmtId="0" fontId="52" fillId="0" borderId="0" xfId="0" applyFont="1" applyAlignment="1">
      <alignment horizontal="left" vertical="top"/>
    </xf>
    <xf numFmtId="0" fontId="52" fillId="0" borderId="0" xfId="0" applyFont="1" applyAlignment="1">
      <alignment wrapText="1"/>
    </xf>
    <xf numFmtId="168" fontId="12" fillId="6" borderId="0" xfId="6" quotePrefix="1" applyNumberFormat="1" applyFont="1" applyFill="1" applyAlignment="1" applyProtection="1">
      <alignment horizontal="right"/>
    </xf>
    <xf numFmtId="0" fontId="0" fillId="0" borderId="0" xfId="0" applyAlignment="1">
      <alignment horizontal="left" vertical="top"/>
    </xf>
    <xf numFmtId="0" fontId="5" fillId="0" borderId="0" xfId="0" quotePrefix="1" applyFont="1" applyAlignment="1">
      <alignment horizontal="left"/>
    </xf>
    <xf numFmtId="0" fontId="55" fillId="0" borderId="0" xfId="0" applyFont="1"/>
    <xf numFmtId="49" fontId="29" fillId="0" borderId="0" xfId="6" applyNumberFormat="1" applyFont="1" applyFill="1" applyAlignment="1" applyProtection="1">
      <alignment horizontal="center" vertical="top"/>
    </xf>
    <xf numFmtId="0" fontId="52" fillId="0" borderId="0" xfId="0" applyFont="1" applyAlignment="1">
      <alignment horizontal="center" wrapText="1"/>
    </xf>
    <xf numFmtId="49" fontId="12"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10" fillId="0" borderId="0" xfId="0" applyFont="1" applyAlignment="1">
      <alignment vertical="top"/>
    </xf>
    <xf numFmtId="0" fontId="44" fillId="0" borderId="0" xfId="0" applyFont="1" applyAlignment="1">
      <alignment vertical="top" wrapText="1"/>
    </xf>
    <xf numFmtId="0" fontId="0" fillId="0" borderId="0" xfId="0" applyAlignment="1">
      <alignment vertical="center" wrapText="1"/>
    </xf>
    <xf numFmtId="0" fontId="19" fillId="0" borderId="1" xfId="6" applyFont="1" applyBorder="1" applyProtection="1"/>
    <xf numFmtId="0" fontId="37" fillId="0" borderId="1" xfId="7" applyFont="1" applyBorder="1" applyAlignment="1">
      <alignment horizontal="left"/>
    </xf>
    <xf numFmtId="0" fontId="37" fillId="0" borderId="0" xfId="7" applyFont="1"/>
    <xf numFmtId="0" fontId="36" fillId="0" borderId="1" xfId="7" applyFont="1" applyBorder="1"/>
    <xf numFmtId="49" fontId="37" fillId="0" borderId="1" xfId="7" applyNumberFormat="1" applyFont="1" applyBorder="1" applyAlignment="1">
      <alignment horizontal="left"/>
    </xf>
    <xf numFmtId="0" fontId="36" fillId="0" borderId="1" xfId="7" applyFont="1" applyBorder="1" applyAlignment="1">
      <alignment horizontal="center"/>
    </xf>
    <xf numFmtId="0" fontId="19" fillId="0" borderId="1" xfId="7" applyFont="1" applyBorder="1" applyAlignment="1">
      <alignment horizontal="center"/>
    </xf>
    <xf numFmtId="0" fontId="19" fillId="0" borderId="1" xfId="7" applyFont="1" applyBorder="1" applyAlignment="1">
      <alignment horizontal="center" wrapText="1"/>
    </xf>
    <xf numFmtId="0" fontId="37" fillId="0" borderId="1" xfId="7" applyFont="1" applyBorder="1"/>
    <xf numFmtId="0" fontId="38" fillId="9" borderId="1" xfId="7" applyFont="1" applyFill="1" applyBorder="1"/>
    <xf numFmtId="49" fontId="37" fillId="0" borderId="1" xfId="7" applyNumberFormat="1" applyFont="1" applyBorder="1"/>
    <xf numFmtId="169" fontId="37" fillId="0" borderId="1" xfId="7" applyNumberFormat="1" applyFont="1" applyBorder="1"/>
    <xf numFmtId="0" fontId="37" fillId="0" borderId="1" xfId="7" applyFont="1" applyBorder="1" applyAlignment="1">
      <alignment horizontal="right"/>
    </xf>
    <xf numFmtId="0" fontId="37" fillId="0" borderId="1" xfId="7" applyFont="1" applyBorder="1" applyAlignment="1">
      <alignment wrapText="1"/>
    </xf>
    <xf numFmtId="0" fontId="14" fillId="0" borderId="1" xfId="7" applyFont="1" applyBorder="1"/>
    <xf numFmtId="0" fontId="37" fillId="9" borderId="1" xfId="7" applyFont="1" applyFill="1" applyBorder="1"/>
    <xf numFmtId="168" fontId="31" fillId="5" borderId="1" xfId="6" applyNumberFormat="1" applyFont="1" applyFill="1" applyBorder="1" applyAlignment="1" applyProtection="1">
      <alignment horizontal="center" vertical="top"/>
    </xf>
    <xf numFmtId="168" fontId="31" fillId="5" borderId="1" xfId="6" applyNumberFormat="1" applyFont="1" applyFill="1" applyBorder="1" applyAlignment="1" applyProtection="1">
      <alignment horizontal="center" vertical="top" wrapText="1"/>
    </xf>
    <xf numFmtId="165" fontId="31" fillId="5" borderId="1" xfId="6" applyNumberFormat="1" applyFont="1" applyFill="1" applyBorder="1" applyAlignment="1" applyProtection="1">
      <alignment horizontal="center" vertical="top"/>
    </xf>
    <xf numFmtId="165" fontId="31" fillId="0" borderId="1" xfId="6" applyNumberFormat="1" applyFont="1" applyFill="1" applyBorder="1" applyAlignment="1" applyProtection="1">
      <alignment horizontal="center" vertical="top"/>
    </xf>
    <xf numFmtId="168" fontId="20" fillId="0" borderId="8" xfId="6" applyNumberFormat="1" applyFont="1" applyBorder="1" applyAlignment="1" applyProtection="1">
      <alignment horizontal="justify" vertical="top" wrapText="1"/>
    </xf>
    <xf numFmtId="0" fontId="0" fillId="5" borderId="0" xfId="0" applyFill="1"/>
    <xf numFmtId="37" fontId="47" fillId="5" borderId="4" xfId="13" applyNumberFormat="1" applyFont="1" applyFill="1" applyBorder="1"/>
    <xf numFmtId="37" fontId="47" fillId="0" borderId="4" xfId="13" applyNumberFormat="1" applyFont="1" applyBorder="1" applyAlignment="1" applyProtection="1">
      <alignment horizontal="right"/>
      <protection locked="0"/>
    </xf>
    <xf numFmtId="37" fontId="47" fillId="0" borderId="9" xfId="13" applyNumberFormat="1" applyFont="1" applyBorder="1" applyAlignment="1" applyProtection="1">
      <alignment horizontal="right"/>
      <protection locked="0"/>
    </xf>
    <xf numFmtId="173" fontId="63" fillId="0" borderId="1" xfId="13" applyNumberFormat="1" applyBorder="1" applyProtection="1">
      <protection locked="0"/>
    </xf>
    <xf numFmtId="0" fontId="28" fillId="0" borderId="0" xfId="0" applyFont="1"/>
    <xf numFmtId="0" fontId="28"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28" fillId="2" borderId="0" xfId="0" applyNumberFormat="1" applyFont="1" applyFill="1"/>
    <xf numFmtId="37" fontId="0" fillId="2" borderId="0" xfId="0" applyNumberFormat="1" applyFill="1"/>
    <xf numFmtId="0" fontId="0" fillId="14" borderId="0" xfId="0" applyFill="1"/>
    <xf numFmtId="37" fontId="28" fillId="14" borderId="0" xfId="0" applyNumberFormat="1" applyFont="1" applyFill="1"/>
    <xf numFmtId="37" fontId="35"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5" fillId="2" borderId="0" xfId="0" applyNumberFormat="1" applyFont="1" applyFill="1"/>
    <xf numFmtId="0" fontId="29" fillId="13" borderId="0" xfId="0" applyFont="1" applyFill="1"/>
    <xf numFmtId="37" fontId="29" fillId="13" borderId="0" xfId="0" applyNumberFormat="1" applyFont="1" applyFill="1"/>
    <xf numFmtId="0" fontId="29" fillId="13" borderId="0" xfId="0" applyFont="1" applyFill="1" applyAlignment="1">
      <alignment horizontal="left"/>
    </xf>
    <xf numFmtId="0" fontId="29" fillId="2" borderId="0" xfId="0" applyFont="1" applyFill="1"/>
    <xf numFmtId="37" fontId="49" fillId="0" borderId="18" xfId="0" applyNumberFormat="1" applyFont="1" applyBorder="1"/>
    <xf numFmtId="0" fontId="12" fillId="6" borderId="0" xfId="6" applyFont="1" applyFill="1" applyProtection="1"/>
    <xf numFmtId="37" fontId="47" fillId="0" borderId="9" xfId="13" applyNumberFormat="1" applyFont="1" applyBorder="1"/>
    <xf numFmtId="49" fontId="63" fillId="0" borderId="3" xfId="13" applyNumberFormat="1" applyBorder="1" applyAlignment="1">
      <alignment horizontal="center"/>
    </xf>
    <xf numFmtId="49" fontId="45" fillId="0" borderId="3" xfId="0" applyNumberFormat="1" applyFont="1" applyBorder="1" applyProtection="1">
      <protection locked="0"/>
    </xf>
    <xf numFmtId="37" fontId="49" fillId="0" borderId="10" xfId="0" applyNumberFormat="1" applyFont="1" applyBorder="1" applyProtection="1">
      <protection locked="0"/>
    </xf>
    <xf numFmtId="37" fontId="29" fillId="5" borderId="1" xfId="10" applyNumberFormat="1" applyFont="1" applyFill="1" applyBorder="1" applyProtection="1">
      <protection locked="0"/>
    </xf>
    <xf numFmtId="168" fontId="5" fillId="0" borderId="0" xfId="6" applyNumberFormat="1" applyFont="1" applyFill="1" applyAlignment="1" applyProtection="1">
      <alignment horizontal="left" vertical="top"/>
    </xf>
    <xf numFmtId="0" fontId="33" fillId="0" borderId="0" xfId="0" applyFont="1"/>
    <xf numFmtId="0" fontId="5" fillId="0" borderId="0" xfId="0" applyFont="1"/>
    <xf numFmtId="37" fontId="49" fillId="0" borderId="1" xfId="0" applyNumberFormat="1" applyFont="1" applyBorder="1"/>
    <xf numFmtId="37" fontId="0" fillId="0" borderId="1" xfId="0" applyNumberFormat="1" applyBorder="1"/>
    <xf numFmtId="37" fontId="49" fillId="4" borderId="1" xfId="0" applyNumberFormat="1" applyFont="1" applyFill="1" applyBorder="1"/>
    <xf numFmtId="10" fontId="49" fillId="4" borderId="1" xfId="0" applyNumberFormat="1" applyFont="1" applyFill="1" applyBorder="1"/>
    <xf numFmtId="37" fontId="49" fillId="0" borderId="15" xfId="0" applyNumberFormat="1" applyFont="1" applyBorder="1"/>
    <xf numFmtId="37" fontId="0" fillId="0" borderId="5" xfId="0" applyNumberFormat="1" applyBorder="1"/>
    <xf numFmtId="37" fontId="49" fillId="0" borderId="5" xfId="0" applyNumberFormat="1" applyFont="1" applyBorder="1"/>
    <xf numFmtId="37" fontId="49" fillId="4" borderId="5" xfId="0" applyNumberFormat="1" applyFont="1" applyFill="1" applyBorder="1"/>
    <xf numFmtId="37" fontId="0" fillId="4" borderId="21" xfId="0" applyNumberFormat="1" applyFill="1" applyBorder="1"/>
    <xf numFmtId="0" fontId="16" fillId="6" borderId="12" xfId="6" applyFont="1" applyFill="1" applyBorder="1" applyProtection="1"/>
    <xf numFmtId="0" fontId="16" fillId="6" borderId="7" xfId="6" applyFont="1" applyFill="1" applyBorder="1" applyProtection="1"/>
    <xf numFmtId="168" fontId="52" fillId="5" borderId="0" xfId="10" applyNumberFormat="1" applyFont="1" applyFill="1"/>
    <xf numFmtId="16" fontId="29" fillId="0" borderId="0" xfId="0" quotePrefix="1" applyNumberFormat="1" applyFont="1" applyAlignment="1">
      <alignment horizontal="right" vertical="top" wrapText="1"/>
    </xf>
    <xf numFmtId="0" fontId="0" fillId="0" borderId="0" xfId="0" quotePrefix="1" applyAlignment="1">
      <alignment horizontal="right" vertical="top"/>
    </xf>
    <xf numFmtId="168" fontId="5" fillId="0" borderId="0" xfId="6" applyNumberFormat="1" applyFont="1" applyFill="1" applyAlignment="1" applyProtection="1">
      <alignment vertical="top"/>
    </xf>
    <xf numFmtId="0" fontId="5" fillId="0" borderId="1" xfId="0" applyFont="1" applyBorder="1" applyAlignment="1">
      <alignment horizontal="left" wrapText="1"/>
    </xf>
    <xf numFmtId="0" fontId="5"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5" xfId="0" applyBorder="1" applyAlignment="1">
      <alignment horizontal="center" wrapText="1"/>
    </xf>
    <xf numFmtId="0" fontId="0" fillId="0" borderId="10" xfId="0"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5" fillId="0" borderId="0" xfId="0" applyFont="1" applyAlignment="1">
      <alignment horizontal="center"/>
    </xf>
    <xf numFmtId="37" fontId="0" fillId="0" borderId="4" xfId="0" applyNumberFormat="1" applyBorder="1" applyAlignment="1" applyProtection="1">
      <alignment horizontal="right"/>
      <protection locked="0"/>
    </xf>
    <xf numFmtId="0" fontId="0" fillId="0" borderId="16" xfId="0" applyBorder="1" applyAlignment="1">
      <alignment horizontal="center"/>
    </xf>
    <xf numFmtId="0" fontId="0" fillId="0" borderId="17" xfId="0" applyBorder="1" applyAlignment="1">
      <alignment horizontal="center"/>
    </xf>
    <xf numFmtId="168" fontId="0" fillId="5" borderId="0" xfId="0" applyNumberFormat="1" applyFill="1" applyAlignment="1">
      <alignment horizontal="left"/>
    </xf>
    <xf numFmtId="168" fontId="0" fillId="5" borderId="14" xfId="0" applyNumberFormat="1" applyFill="1" applyBorder="1" applyAlignment="1">
      <alignment horizontal="left"/>
    </xf>
    <xf numFmtId="0" fontId="0" fillId="0" borderId="0" xfId="0" quotePrefix="1" applyAlignment="1">
      <alignment horizontal="left"/>
    </xf>
    <xf numFmtId="168" fontId="5" fillId="5" borderId="0" xfId="0" applyNumberFormat="1" applyFont="1" applyFill="1" applyAlignment="1">
      <alignment horizontal="center"/>
    </xf>
    <xf numFmtId="0" fontId="0" fillId="0" borderId="1" xfId="0" applyBorder="1" applyAlignment="1">
      <alignment horizontal="center"/>
    </xf>
    <xf numFmtId="0" fontId="29" fillId="0" borderId="9" xfId="10" applyFont="1" applyBorder="1" applyAlignment="1">
      <alignment horizontal="left"/>
    </xf>
    <xf numFmtId="0" fontId="29" fillId="0" borderId="4" xfId="10" applyFont="1" applyBorder="1" applyAlignment="1">
      <alignment horizontal="left"/>
    </xf>
    <xf numFmtId="168" fontId="29" fillId="5" borderId="0" xfId="10" applyNumberFormat="1" applyFont="1" applyFill="1" applyAlignment="1">
      <alignment horizontal="left"/>
    </xf>
    <xf numFmtId="0" fontId="29" fillId="0" borderId="3" xfId="10" applyFont="1" applyBorder="1" applyAlignment="1">
      <alignment horizontal="center"/>
    </xf>
    <xf numFmtId="0" fontId="63" fillId="0" borderId="3" xfId="13" applyBorder="1" applyAlignment="1">
      <alignment horizontal="center"/>
    </xf>
    <xf numFmtId="0" fontId="0" fillId="0" borderId="0" xfId="0" applyAlignment="1">
      <alignment horizontal="left" vertical="top" wrapText="1"/>
    </xf>
    <xf numFmtId="168" fontId="5" fillId="0" borderId="0" xfId="6" quotePrefix="1" applyNumberFormat="1" applyFont="1" applyFill="1" applyAlignment="1" applyProtection="1">
      <alignment horizontal="left" vertical="top"/>
    </xf>
    <xf numFmtId="0" fontId="12" fillId="0" borderId="13" xfId="6" applyFont="1" applyFill="1" applyBorder="1" applyAlignment="1" applyProtection="1">
      <alignment horizontal="center" vertical="top"/>
    </xf>
    <xf numFmtId="0" fontId="12" fillId="0" borderId="8" xfId="6" applyFont="1" applyFill="1" applyBorder="1" applyAlignment="1" applyProtection="1">
      <alignment horizontal="center" vertical="top"/>
    </xf>
    <xf numFmtId="0" fontId="12" fillId="0" borderId="0" xfId="6" applyFont="1" applyFill="1" applyAlignment="1" applyProtection="1">
      <alignment horizontal="center" vertical="top"/>
    </xf>
    <xf numFmtId="0" fontId="12" fillId="0" borderId="14" xfId="6" applyFont="1" applyFill="1" applyBorder="1" applyAlignment="1" applyProtection="1">
      <alignment horizontal="center" vertical="top"/>
    </xf>
    <xf numFmtId="0" fontId="12" fillId="0" borderId="15" xfId="6" applyFont="1" applyFill="1" applyBorder="1" applyAlignment="1" applyProtection="1">
      <alignment horizontal="center" vertical="top"/>
    </xf>
    <xf numFmtId="0" fontId="12" fillId="0" borderId="17" xfId="6" applyFont="1" applyFill="1" applyBorder="1" applyAlignment="1" applyProtection="1">
      <alignment horizontal="center" vertical="top"/>
    </xf>
    <xf numFmtId="37" fontId="49" fillId="4" borderId="15" xfId="0" applyNumberFormat="1" applyFont="1" applyFill="1" applyBorder="1"/>
    <xf numFmtId="0" fontId="52" fillId="0" borderId="0" xfId="0" applyFont="1" applyAlignment="1">
      <alignment vertical="center" wrapText="1"/>
    </xf>
    <xf numFmtId="0" fontId="52" fillId="0" borderId="0" xfId="0" applyFont="1" applyAlignment="1">
      <alignment horizontal="center" vertical="center" wrapText="1"/>
    </xf>
    <xf numFmtId="0" fontId="29" fillId="0" borderId="0" xfId="0" applyFont="1" applyAlignment="1">
      <alignment vertical="top" wrapText="1"/>
    </xf>
    <xf numFmtId="37" fontId="0" fillId="0" borderId="9" xfId="0" applyNumberFormat="1" applyBorder="1"/>
    <xf numFmtId="37" fontId="49" fillId="4" borderId="8" xfId="0" applyNumberFormat="1" applyFont="1" applyFill="1" applyBorder="1"/>
    <xf numFmtId="37" fontId="63" fillId="5" borderId="12" xfId="13" applyNumberFormat="1" applyFill="1" applyBorder="1"/>
    <xf numFmtId="49" fontId="0" fillId="0" borderId="1" xfId="0" applyNumberFormat="1" applyBorder="1" applyAlignment="1" applyProtection="1">
      <alignment horizontal="center" vertical="center" wrapText="1"/>
      <protection locked="0"/>
    </xf>
    <xf numFmtId="0" fontId="60" fillId="0" borderId="0" xfId="0" applyFont="1" applyAlignment="1" applyProtection="1">
      <alignment vertical="center"/>
      <protection locked="0"/>
    </xf>
    <xf numFmtId="0" fontId="0" fillId="0" borderId="0" xfId="0" applyAlignment="1">
      <alignment horizontal="center" vertical="center"/>
    </xf>
    <xf numFmtId="37" fontId="63" fillId="0" borderId="1" xfId="13" applyNumberFormat="1" applyBorder="1"/>
    <xf numFmtId="37" fontId="0" fillId="4" borderId="1" xfId="0" applyNumberFormat="1" applyFill="1" applyBorder="1"/>
    <xf numFmtId="49" fontId="0" fillId="0" borderId="0" xfId="0" applyNumberFormat="1" applyAlignment="1">
      <alignment horizontal="center"/>
    </xf>
    <xf numFmtId="0" fontId="31" fillId="6" borderId="10" xfId="6" applyFont="1" applyFill="1" applyBorder="1" applyAlignment="1" applyProtection="1">
      <alignment horizontal="center"/>
    </xf>
    <xf numFmtId="0" fontId="31" fillId="6" borderId="15" xfId="6" applyFont="1" applyFill="1" applyBorder="1" applyAlignment="1" applyProtection="1">
      <alignment horizontal="center"/>
    </xf>
    <xf numFmtId="0" fontId="31" fillId="6" borderId="5" xfId="6" applyFont="1" applyFill="1" applyBorder="1" applyAlignment="1" applyProtection="1">
      <alignment horizontal="center"/>
    </xf>
    <xf numFmtId="0" fontId="5" fillId="0" borderId="8" xfId="12" applyNumberFormat="1" applyFont="1" applyFill="1" applyBorder="1" applyAlignment="1" applyProtection="1">
      <alignment horizontal="center" vertical="center" wrapText="1"/>
    </xf>
    <xf numFmtId="0" fontId="62" fillId="0" borderId="9"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4" fillId="6" borderId="0" xfId="6" applyFont="1" applyFill="1" applyProtection="1"/>
    <xf numFmtId="37" fontId="0" fillId="5" borderId="19"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7"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2" xfId="0" applyNumberFormat="1" applyFill="1" applyBorder="1"/>
    <xf numFmtId="49" fontId="0" fillId="0" borderId="1" xfId="0" applyNumberFormat="1" applyBorder="1" applyAlignment="1">
      <alignment horizontal="center"/>
    </xf>
    <xf numFmtId="49" fontId="0" fillId="0" borderId="8" xfId="0" applyNumberFormat="1" applyBorder="1" applyAlignment="1">
      <alignment horizontal="center"/>
    </xf>
    <xf numFmtId="5" fontId="64" fillId="6" borderId="0" xfId="6" applyNumberFormat="1" applyFont="1" applyFill="1" applyBorder="1" applyProtection="1"/>
    <xf numFmtId="39" fontId="0" fillId="0" borderId="0" xfId="0" applyNumberFormat="1"/>
    <xf numFmtId="168" fontId="17" fillId="5" borderId="0" xfId="0" applyNumberFormat="1" applyFont="1" applyFill="1"/>
    <xf numFmtId="3" fontId="0" fillId="0" borderId="1" xfId="0" applyNumberFormat="1" applyBorder="1" applyProtection="1">
      <protection locked="0"/>
    </xf>
    <xf numFmtId="3" fontId="0" fillId="0" borderId="5" xfId="0" applyNumberFormat="1" applyBorder="1" applyProtection="1">
      <protection locked="0"/>
    </xf>
    <xf numFmtId="37" fontId="0" fillId="5" borderId="0" xfId="0" applyNumberFormat="1" applyFill="1"/>
    <xf numFmtId="3" fontId="0" fillId="0" borderId="10" xfId="0" applyNumberFormat="1" applyBorder="1" applyProtection="1">
      <protection locked="0"/>
    </xf>
    <xf numFmtId="37" fontId="0" fillId="0" borderId="21" xfId="0" applyNumberFormat="1" applyBorder="1"/>
    <xf numFmtId="165" fontId="0" fillId="0" borderId="0" xfId="0" applyNumberFormat="1"/>
    <xf numFmtId="165" fontId="0" fillId="0" borderId="3" xfId="0" applyNumberFormat="1" applyBorder="1" applyProtection="1">
      <protection locked="0"/>
    </xf>
    <xf numFmtId="37" fontId="0" fillId="0" borderId="5" xfId="0" applyNumberFormat="1" applyBorder="1" applyProtection="1">
      <protection locked="0"/>
    </xf>
    <xf numFmtId="0" fontId="0" fillId="0" borderId="1" xfId="0" applyBorder="1" applyAlignment="1" applyProtection="1">
      <alignment vertical="top" wrapText="1"/>
      <protection locked="0"/>
    </xf>
    <xf numFmtId="0" fontId="12" fillId="0" borderId="1" xfId="6" applyFont="1" applyFill="1" applyBorder="1" applyAlignment="1" applyProtection="1">
      <alignment horizontal="center" vertical="top"/>
    </xf>
    <xf numFmtId="0" fontId="32" fillId="6" borderId="0" xfId="6" applyFont="1" applyFill="1" applyBorder="1" applyAlignment="1" applyProtection="1">
      <alignment horizontal="center"/>
    </xf>
    <xf numFmtId="0" fontId="16" fillId="0" borderId="13" xfId="6" applyFont="1" applyFill="1" applyBorder="1" applyProtection="1"/>
    <xf numFmtId="0" fontId="16" fillId="0" borderId="10" xfId="6" applyFont="1" applyFill="1" applyBorder="1" applyProtection="1"/>
    <xf numFmtId="0" fontId="37" fillId="0" borderId="0" xfId="7" applyFont="1" applyAlignment="1">
      <alignment horizontal="center"/>
    </xf>
    <xf numFmtId="37" fontId="0" fillId="9" borderId="10" xfId="0" applyNumberFormat="1" applyFill="1" applyBorder="1" applyAlignment="1">
      <alignment horizontal="center"/>
    </xf>
    <xf numFmtId="37" fontId="0" fillId="9" borderId="15" xfId="0" applyNumberFormat="1" applyFill="1" applyBorder="1" applyAlignment="1">
      <alignment horizontal="center"/>
    </xf>
    <xf numFmtId="0" fontId="12" fillId="0" borderId="8" xfId="6" applyFont="1" applyBorder="1" applyAlignment="1" applyProtection="1">
      <alignment horizontal="center" vertical="top"/>
    </xf>
    <xf numFmtId="37" fontId="0" fillId="10" borderId="35" xfId="0" applyNumberFormat="1" applyFill="1" applyBorder="1" applyAlignment="1">
      <alignment horizontal="center"/>
    </xf>
    <xf numFmtId="37" fontId="0" fillId="10" borderId="12" xfId="0" applyNumberFormat="1" applyFill="1" applyBorder="1"/>
    <xf numFmtId="37" fontId="0" fillId="10" borderId="2" xfId="0" applyNumberFormat="1" applyFill="1" applyBorder="1"/>
    <xf numFmtId="37" fontId="0" fillId="10" borderId="36" xfId="0" applyNumberFormat="1" applyFill="1" applyBorder="1"/>
    <xf numFmtId="37" fontId="0" fillId="10" borderId="9" xfId="0" applyNumberFormat="1" applyFill="1" applyBorder="1"/>
    <xf numFmtId="37" fontId="0" fillId="10" borderId="3" xfId="0" applyNumberFormat="1" applyFill="1" applyBorder="1"/>
    <xf numFmtId="0" fontId="31" fillId="6" borderId="3" xfId="6" applyFont="1" applyFill="1" applyBorder="1" applyProtection="1"/>
    <xf numFmtId="0" fontId="34" fillId="6" borderId="0" xfId="6" applyFont="1" applyFill="1" applyProtection="1"/>
    <xf numFmtId="49" fontId="34" fillId="6" borderId="0" xfId="6" applyNumberFormat="1" applyFont="1" applyFill="1" applyProtection="1"/>
    <xf numFmtId="0" fontId="67" fillId="0" borderId="0" xfId="0" applyFont="1" applyAlignment="1">
      <alignment vertical="top" wrapText="1"/>
    </xf>
    <xf numFmtId="168" fontId="32" fillId="6" borderId="0" xfId="0" applyNumberFormat="1" applyFont="1" applyFill="1" applyAlignment="1">
      <alignment horizontal="center"/>
    </xf>
    <xf numFmtId="0" fontId="32" fillId="6" borderId="0" xfId="6" applyFont="1" applyFill="1" applyAlignment="1" applyProtection="1">
      <alignment horizontal="center"/>
    </xf>
    <xf numFmtId="37" fontId="54" fillId="6" borderId="0" xfId="6" applyNumberFormat="1" applyFont="1" applyFill="1" applyBorder="1" applyAlignment="1" applyProtection="1">
      <alignment horizontal="center" vertical="center"/>
    </xf>
    <xf numFmtId="0" fontId="2" fillId="3" borderId="0" xfId="7" applyFont="1" applyFill="1" applyAlignment="1" applyProtection="1">
      <alignment horizontal="left"/>
      <protection locked="0"/>
    </xf>
    <xf numFmtId="167" fontId="0" fillId="0" borderId="0" xfId="0" quotePrefix="1" applyNumberFormat="1" applyAlignment="1">
      <alignment horizontal="right"/>
    </xf>
    <xf numFmtId="0" fontId="16" fillId="6" borderId="0" xfId="6" applyFont="1" applyFill="1" applyBorder="1" applyAlignment="1" applyProtection="1">
      <alignment horizontal="center"/>
    </xf>
    <xf numFmtId="37" fontId="0" fillId="0" borderId="15" xfId="0" applyNumberFormat="1" applyBorder="1" applyProtection="1">
      <protection locked="0"/>
    </xf>
    <xf numFmtId="37" fontId="66" fillId="0" borderId="1" xfId="0" applyNumberFormat="1" applyFont="1" applyBorder="1" applyProtection="1">
      <protection locked="0"/>
    </xf>
    <xf numFmtId="38" fontId="66" fillId="0" borderId="1" xfId="0" applyNumberFormat="1" applyFont="1" applyBorder="1" applyProtection="1">
      <protection locked="0"/>
    </xf>
    <xf numFmtId="0" fontId="16" fillId="6" borderId="0" xfId="6" applyFont="1" applyFill="1" applyBorder="1" applyProtection="1"/>
    <xf numFmtId="0" fontId="12" fillId="6" borderId="0" xfId="6" applyFont="1" applyFill="1" applyBorder="1" applyProtection="1"/>
    <xf numFmtId="0" fontId="68" fillId="6" borderId="0" xfId="6" applyFont="1" applyFill="1" applyAlignment="1" applyProtection="1">
      <alignment horizontal="right"/>
    </xf>
    <xf numFmtId="0" fontId="68" fillId="6" borderId="0" xfId="6" quotePrefix="1" applyFont="1" applyFill="1" applyAlignment="1" applyProtection="1">
      <alignment horizontal="right"/>
    </xf>
    <xf numFmtId="0" fontId="1" fillId="3" borderId="0" xfId="7" applyFont="1" applyFill="1" applyAlignment="1" applyProtection="1">
      <alignment horizontal="left"/>
      <protection locked="0"/>
    </xf>
    <xf numFmtId="0" fontId="66" fillId="0" borderId="0" xfId="0" applyFont="1"/>
    <xf numFmtId="49" fontId="66" fillId="0" borderId="0" xfId="0" applyNumberFormat="1" applyFont="1" applyAlignment="1">
      <alignment horizontal="right"/>
    </xf>
    <xf numFmtId="37" fontId="66" fillId="4" borderId="1" xfId="0" applyNumberFormat="1" applyFont="1" applyFill="1" applyBorder="1"/>
    <xf numFmtId="167" fontId="0" fillId="0" borderId="34" xfId="0" quotePrefix="1" applyNumberFormat="1" applyBorder="1" applyAlignment="1">
      <alignment horizontal="right"/>
    </xf>
    <xf numFmtId="168" fontId="66" fillId="5" borderId="2" xfId="0" applyNumberFormat="1" applyFont="1" applyFill="1" applyBorder="1"/>
    <xf numFmtId="168" fontId="66" fillId="5" borderId="16" xfId="0" applyNumberFormat="1" applyFont="1" applyFill="1" applyBorder="1"/>
    <xf numFmtId="167" fontId="63" fillId="0" borderId="0" xfId="9" applyNumberFormat="1" applyFont="1" applyAlignment="1">
      <alignment horizontal="right"/>
    </xf>
    <xf numFmtId="167" fontId="63" fillId="0" borderId="34" xfId="9" applyNumberFormat="1" applyFont="1" applyBorder="1" applyAlignment="1">
      <alignment horizontal="right"/>
    </xf>
    <xf numFmtId="167" fontId="63" fillId="0" borderId="0" xfId="9" applyNumberFormat="1" applyFont="1" applyAlignment="1">
      <alignment horizontal="left"/>
    </xf>
    <xf numFmtId="49" fontId="66" fillId="0" borderId="0" xfId="0" applyNumberFormat="1" applyFont="1" applyAlignment="1">
      <alignment horizontal="center"/>
    </xf>
    <xf numFmtId="168" fontId="66" fillId="5" borderId="0" xfId="0" quotePrefix="1" applyNumberFormat="1" applyFont="1" applyFill="1" applyAlignment="1">
      <alignment horizontal="left"/>
    </xf>
    <xf numFmtId="49" fontId="66" fillId="0" borderId="0" xfId="0" applyNumberFormat="1" applyFont="1"/>
    <xf numFmtId="0" fontId="66" fillId="0" borderId="0" xfId="13" applyFont="1"/>
    <xf numFmtId="0" fontId="66" fillId="0" borderId="0" xfId="0" applyFont="1" applyAlignment="1">
      <alignment horizontal="left" vertical="top"/>
    </xf>
    <xf numFmtId="0" fontId="66" fillId="0" borderId="0" xfId="0" quotePrefix="1" applyFont="1" applyAlignment="1">
      <alignment horizontal="left" vertical="top"/>
    </xf>
    <xf numFmtId="168" fontId="5" fillId="0" borderId="0" xfId="6" quotePrefix="1" applyNumberFormat="1" applyFont="1" applyFill="1" applyAlignment="1" applyProtection="1">
      <alignment vertical="top"/>
    </xf>
    <xf numFmtId="0" fontId="66" fillId="0" borderId="0" xfId="0" applyFont="1" applyAlignment="1">
      <alignment vertical="top"/>
    </xf>
    <xf numFmtId="0" fontId="0" fillId="16" borderId="1" xfId="6" applyFont="1" applyFill="1" applyBorder="1" applyAlignment="1" applyProtection="1">
      <alignment vertical="top" wrapText="1"/>
    </xf>
    <xf numFmtId="0" fontId="66" fillId="16" borderId="1" xfId="6" applyFont="1" applyFill="1" applyBorder="1" applyAlignment="1" applyProtection="1">
      <alignment vertical="top" wrapText="1"/>
    </xf>
    <xf numFmtId="168" fontId="66" fillId="5" borderId="0" xfId="10" applyNumberFormat="1" applyFont="1" applyFill="1" applyAlignment="1">
      <alignment horizontal="right"/>
    </xf>
    <xf numFmtId="0" fontId="16" fillId="6" borderId="0" xfId="6" applyFont="1" applyFill="1" applyAlignment="1" applyProtection="1">
      <alignment horizontal="center"/>
    </xf>
    <xf numFmtId="0" fontId="66" fillId="0" borderId="0" xfId="0" applyFont="1" applyAlignment="1">
      <alignment vertical="top" wrapText="1"/>
    </xf>
    <xf numFmtId="0" fontId="0" fillId="0" borderId="1" xfId="0" applyBorder="1" applyProtection="1">
      <protection locked="0"/>
    </xf>
    <xf numFmtId="0" fontId="16" fillId="6" borderId="7" xfId="6" applyFont="1" applyFill="1" applyBorder="1" applyAlignment="1" applyProtection="1">
      <alignment horizontal="center" vertical="center"/>
    </xf>
    <xf numFmtId="37" fontId="66" fillId="0" borderId="1" xfId="0" applyNumberFormat="1" applyFont="1" applyBorder="1"/>
    <xf numFmtId="168" fontId="66" fillId="0" borderId="0" xfId="0" applyNumberFormat="1" applyFont="1"/>
    <xf numFmtId="174" fontId="37" fillId="0" borderId="1" xfId="7" applyNumberFormat="1" applyFont="1" applyBorder="1" applyProtection="1">
      <protection locked="0"/>
    </xf>
    <xf numFmtId="37" fontId="17" fillId="16" borderId="0" xfId="0" applyNumberFormat="1" applyFont="1" applyFill="1" applyAlignment="1">
      <alignment horizontal="left" indent="1"/>
    </xf>
    <xf numFmtId="37" fontId="17" fillId="16" borderId="0" xfId="0" applyNumberFormat="1" applyFont="1" applyFill="1"/>
    <xf numFmtId="37" fontId="66" fillId="16" borderId="0" xfId="0" applyNumberFormat="1" applyFont="1" applyFill="1"/>
    <xf numFmtId="14" fontId="0" fillId="0" borderId="0" xfId="0" applyNumberFormat="1"/>
    <xf numFmtId="0" fontId="5"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10"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66"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6" borderId="1" xfId="0" applyFill="1" applyBorder="1" applyAlignment="1">
      <alignment horizontal="center" vertical="top" wrapText="1"/>
    </xf>
    <xf numFmtId="0" fontId="0" fillId="16" borderId="1" xfId="0" applyFill="1" applyBorder="1" applyAlignment="1">
      <alignment vertical="top" wrapText="1"/>
    </xf>
    <xf numFmtId="168" fontId="0" fillId="5" borderId="5" xfId="0" applyNumberFormat="1" applyFill="1" applyBorder="1" applyAlignment="1">
      <alignment horizontal="justify" vertical="top" wrapText="1"/>
    </xf>
    <xf numFmtId="168" fontId="0" fillId="0" borderId="1" xfId="0" applyNumberFormat="1" applyBorder="1" applyAlignment="1">
      <alignment horizontal="center" vertical="top"/>
    </xf>
    <xf numFmtId="168" fontId="66" fillId="0" borderId="1" xfId="0" applyNumberFormat="1" applyFont="1" applyBorder="1" applyAlignment="1">
      <alignment horizontal="justify" vertical="top"/>
    </xf>
    <xf numFmtId="168" fontId="66"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66"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66"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4" fillId="0" borderId="1" xfId="0" applyFont="1" applyBorder="1" applyAlignment="1">
      <alignment vertical="top" wrapText="1"/>
    </xf>
    <xf numFmtId="0" fontId="0" fillId="0" borderId="1" xfId="0" applyBorder="1"/>
    <xf numFmtId="0" fontId="66" fillId="16"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10" xfId="0" applyNumberFormat="1" applyBorder="1" applyAlignment="1">
      <alignment horizontal="center" vertical="top" wrapText="1"/>
    </xf>
    <xf numFmtId="168" fontId="26" fillId="0" borderId="10" xfId="0" applyNumberFormat="1" applyFont="1" applyBorder="1" applyAlignment="1">
      <alignment horizontal="center" vertical="top" wrapText="1"/>
    </xf>
    <xf numFmtId="168" fontId="26" fillId="0" borderId="1" xfId="0" applyNumberFormat="1" applyFont="1" applyBorder="1" applyAlignment="1">
      <alignment horizontal="justify" vertical="top" wrapText="1"/>
    </xf>
    <xf numFmtId="0" fontId="63" fillId="5" borderId="1" xfId="0" applyFont="1" applyFill="1" applyBorder="1"/>
    <xf numFmtId="0" fontId="33"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8" xfId="0" applyNumberFormat="1" applyFill="1" applyBorder="1" applyAlignment="1">
      <alignment horizontal="justify" vertical="top"/>
    </xf>
    <xf numFmtId="0" fontId="0" fillId="0" borderId="8" xfId="0" applyBorder="1" applyAlignment="1">
      <alignment vertical="top" wrapText="1"/>
    </xf>
    <xf numFmtId="168" fontId="0" fillId="0" borderId="15" xfId="0" applyNumberFormat="1" applyBorder="1" applyAlignment="1">
      <alignment horizontal="center" vertical="top" wrapText="1"/>
    </xf>
    <xf numFmtId="0" fontId="34"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18" fillId="0" borderId="1" xfId="0" applyFont="1" applyBorder="1" applyAlignment="1">
      <alignment vertical="top" wrapText="1"/>
    </xf>
    <xf numFmtId="168" fontId="29" fillId="0" borderId="1" xfId="0" applyNumberFormat="1" applyFont="1" applyBorder="1" applyAlignment="1">
      <alignment horizontal="left" vertical="top" wrapText="1"/>
    </xf>
    <xf numFmtId="168" fontId="0" fillId="0" borderId="10" xfId="0" applyNumberFormat="1" applyBorder="1" applyAlignment="1">
      <alignment horizontal="justify" vertical="top"/>
    </xf>
    <xf numFmtId="0" fontId="18" fillId="0" borderId="10" xfId="0" applyFont="1" applyBorder="1" applyAlignment="1">
      <alignment vertical="top" wrapText="1"/>
    </xf>
    <xf numFmtId="168" fontId="0" fillId="0" borderId="5" xfId="0" applyNumberFormat="1" applyBorder="1" applyAlignment="1">
      <alignment horizontal="justify" vertical="top"/>
    </xf>
    <xf numFmtId="0" fontId="18" fillId="0" borderId="5" xfId="0" applyFont="1" applyBorder="1" applyAlignment="1">
      <alignment vertical="top" wrapText="1"/>
    </xf>
    <xf numFmtId="0" fontId="12" fillId="16" borderId="1" xfId="6" quotePrefix="1" applyFont="1" applyFill="1" applyBorder="1" applyAlignment="1" applyProtection="1">
      <alignment horizontal="center" vertical="top" wrapText="1"/>
    </xf>
    <xf numFmtId="0" fontId="66" fillId="16" borderId="1" xfId="0" applyFont="1" applyFill="1" applyBorder="1" applyAlignment="1">
      <alignment horizontal="center" vertical="top" wrapText="1"/>
    </xf>
    <xf numFmtId="0" fontId="66" fillId="16" borderId="1" xfId="0" quotePrefix="1" applyFont="1" applyFill="1" applyBorder="1" applyAlignment="1">
      <alignment horizontal="left" vertical="top" wrapText="1"/>
    </xf>
    <xf numFmtId="0" fontId="66" fillId="16" borderId="1" xfId="0" applyFont="1" applyFill="1" applyBorder="1" applyAlignment="1">
      <alignment horizontal="left" vertical="top" wrapText="1"/>
    </xf>
    <xf numFmtId="0" fontId="66" fillId="16" borderId="1" xfId="0" applyFont="1" applyFill="1" applyBorder="1" applyAlignment="1">
      <alignment horizontal="justify" vertical="top" wrapText="1"/>
    </xf>
    <xf numFmtId="0" fontId="0" fillId="16" borderId="1" xfId="0" applyFill="1" applyBorder="1" applyAlignment="1">
      <alignment horizontal="left" vertical="top" wrapText="1"/>
    </xf>
    <xf numFmtId="0" fontId="29" fillId="16" borderId="1" xfId="0" applyFont="1" applyFill="1" applyBorder="1" applyAlignment="1">
      <alignment horizontal="justify" vertical="top" wrapText="1"/>
    </xf>
    <xf numFmtId="0" fontId="5" fillId="16" borderId="1" xfId="0" applyFont="1" applyFill="1" applyBorder="1" applyAlignment="1">
      <alignment horizontal="justify" vertical="top" wrapText="1"/>
    </xf>
    <xf numFmtId="0" fontId="66" fillId="16" borderId="5" xfId="0" applyFont="1" applyFill="1" applyBorder="1" applyAlignment="1">
      <alignment horizontal="justify" vertical="top" wrapText="1"/>
    </xf>
    <xf numFmtId="0" fontId="66" fillId="16" borderId="12" xfId="0" applyFont="1" applyFill="1" applyBorder="1" applyAlignment="1">
      <alignment horizontal="justify" vertical="top" wrapText="1"/>
    </xf>
    <xf numFmtId="0" fontId="0" fillId="16" borderId="10" xfId="0" applyFill="1" applyBorder="1" applyAlignment="1">
      <alignment horizontal="left" vertical="top" wrapText="1"/>
    </xf>
    <xf numFmtId="0" fontId="62" fillId="16" borderId="5" xfId="6" applyFont="1" applyFill="1" applyBorder="1" applyProtection="1"/>
    <xf numFmtId="0" fontId="0" fillId="16" borderId="35"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66" fillId="0" borderId="1" xfId="0" applyFont="1" applyBorder="1" applyAlignment="1">
      <alignment horizontal="justify" vertical="top" wrapText="1"/>
    </xf>
    <xf numFmtId="168" fontId="66" fillId="0" borderId="1" xfId="0" applyNumberFormat="1" applyFont="1" applyBorder="1" applyAlignment="1">
      <alignment horizontal="left" vertical="top" wrapText="1"/>
    </xf>
    <xf numFmtId="0" fontId="51"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57" fillId="0" borderId="1" xfId="0" applyFont="1" applyBorder="1"/>
    <xf numFmtId="0" fontId="0" fillId="0" borderId="9" xfId="0" applyBorder="1" applyAlignment="1">
      <alignment horizontal="center" vertical="top" wrapText="1"/>
    </xf>
    <xf numFmtId="0" fontId="57" fillId="0" borderId="8" xfId="0" applyFont="1" applyBorder="1"/>
    <xf numFmtId="0" fontId="0" fillId="0" borderId="1" xfId="0" applyBorder="1" applyAlignment="1">
      <alignment horizontal="left" vertical="top"/>
    </xf>
    <xf numFmtId="0" fontId="66" fillId="0" borderId="1" xfId="0" applyFont="1" applyBorder="1" applyAlignment="1">
      <alignment vertical="top" wrapText="1"/>
    </xf>
    <xf numFmtId="0" fontId="0" fillId="0" borderId="1" xfId="0" applyBorder="1" applyAlignment="1">
      <alignment horizontal="left"/>
    </xf>
    <xf numFmtId="14" fontId="45" fillId="0" borderId="3" xfId="0" applyNumberFormat="1" applyFont="1" applyBorder="1" applyProtection="1">
      <protection locked="0"/>
    </xf>
    <xf numFmtId="0" fontId="1" fillId="0" borderId="0" xfId="7" applyFont="1" applyProtection="1">
      <protection locked="0"/>
    </xf>
    <xf numFmtId="0" fontId="0" fillId="0" borderId="0" xfId="0" applyAlignment="1">
      <alignment horizontal="center" wrapText="1"/>
    </xf>
    <xf numFmtId="0" fontId="0" fillId="0" borderId="3" xfId="0" applyBorder="1"/>
    <xf numFmtId="0" fontId="0" fillId="0" borderId="7" xfId="0" applyBorder="1" applyAlignment="1">
      <alignment horizontal="center" vertical="top"/>
    </xf>
    <xf numFmtId="0" fontId="45" fillId="0" borderId="0" xfId="0" applyFont="1" applyProtection="1">
      <protection locked="0"/>
    </xf>
    <xf numFmtId="0" fontId="0" fillId="0" borderId="3" xfId="0" applyBorder="1" applyAlignment="1" applyProtection="1">
      <alignment horizontal="center"/>
      <protection locked="0"/>
    </xf>
    <xf numFmtId="0" fontId="0" fillId="0" borderId="0" xfId="0" applyAlignment="1">
      <alignment horizontal="center" vertical="top"/>
    </xf>
    <xf numFmtId="37" fontId="49" fillId="4" borderId="3" xfId="0" applyNumberFormat="1" applyFont="1" applyFill="1" applyBorder="1"/>
    <xf numFmtId="0" fontId="66" fillId="0" borderId="0" xfId="0" applyFont="1"/>
    <xf numFmtId="0" fontId="0" fillId="0" borderId="0" xfId="0"/>
    <xf numFmtId="0" fontId="0" fillId="0" borderId="0" xfId="0" applyAlignment="1">
      <alignment horizontal="justify" wrapText="1"/>
    </xf>
    <xf numFmtId="0" fontId="0" fillId="0" borderId="3" xfId="0" applyBorder="1" applyProtection="1">
      <protection locked="0"/>
    </xf>
    <xf numFmtId="0" fontId="45" fillId="0" borderId="3" xfId="0" applyFont="1" applyBorder="1" applyProtection="1">
      <protection locked="0"/>
    </xf>
    <xf numFmtId="0" fontId="0" fillId="0" borderId="7" xfId="0" applyBorder="1" applyAlignment="1">
      <alignment horizontal="center"/>
    </xf>
    <xf numFmtId="0" fontId="66" fillId="0" borderId="0" xfId="0" applyFont="1" applyAlignment="1">
      <alignment horizontal="center" wrapText="1"/>
    </xf>
    <xf numFmtId="0" fontId="0" fillId="0" borderId="0" xfId="0" applyAlignment="1">
      <alignment horizontal="center"/>
    </xf>
    <xf numFmtId="0" fontId="33" fillId="4" borderId="0" xfId="0" applyFont="1" applyFill="1" applyAlignment="1">
      <alignment horizontal="left" vertical="center" wrapText="1"/>
    </xf>
    <xf numFmtId="0" fontId="33" fillId="4" borderId="14" xfId="0" applyFont="1" applyFill="1" applyBorder="1" applyAlignment="1">
      <alignment horizontal="left" vertical="center" wrapText="1"/>
    </xf>
    <xf numFmtId="0" fontId="5" fillId="0" borderId="0" xfId="0" applyFont="1" applyAlignment="1">
      <alignment horizontal="left"/>
    </xf>
    <xf numFmtId="0" fontId="33" fillId="0" borderId="0" xfId="0" applyFont="1" applyAlignment="1">
      <alignment horizontal="left" vertical="center" wrapText="1"/>
    </xf>
    <xf numFmtId="0" fontId="33" fillId="0" borderId="14" xfId="0" applyFont="1" applyBorder="1" applyAlignment="1">
      <alignment horizontal="left" vertical="center" wrapText="1"/>
    </xf>
    <xf numFmtId="0" fontId="45" fillId="4" borderId="0" xfId="0" applyFont="1" applyFill="1" applyAlignment="1">
      <alignment wrapText="1"/>
    </xf>
    <xf numFmtId="0" fontId="33" fillId="4" borderId="0" xfId="0" applyFont="1" applyFill="1" applyAlignment="1">
      <alignment horizontal="left" vertical="top" wrapText="1"/>
    </xf>
    <xf numFmtId="0" fontId="45" fillId="4" borderId="0" xfId="0" applyFont="1" applyFill="1"/>
    <xf numFmtId="0" fontId="21" fillId="4" borderId="0" xfId="0" applyFont="1" applyFill="1" applyAlignment="1">
      <alignment vertical="top" wrapText="1"/>
    </xf>
    <xf numFmtId="0" fontId="9" fillId="0" borderId="0" xfId="0" applyFont="1" applyAlignment="1">
      <alignment horizontal="center"/>
    </xf>
    <xf numFmtId="0" fontId="10" fillId="0" borderId="0" xfId="0" applyFont="1" applyAlignment="1">
      <alignment horizontal="center"/>
    </xf>
    <xf numFmtId="0" fontId="6" fillId="0" borderId="0" xfId="6" applyFont="1" applyFill="1" applyAlignment="1" applyProtection="1">
      <alignment horizontal="center" wrapText="1"/>
    </xf>
    <xf numFmtId="0" fontId="31" fillId="6" borderId="0" xfId="6" applyFont="1" applyFill="1" applyAlignment="1" applyProtection="1">
      <alignment horizontal="center"/>
    </xf>
    <xf numFmtId="0" fontId="0" fillId="0" borderId="3" xfId="0" applyBorder="1" applyAlignment="1" applyProtection="1">
      <alignment horizontal="left"/>
      <protection locked="0"/>
    </xf>
    <xf numFmtId="0" fontId="0" fillId="0" borderId="34" xfId="0" applyBorder="1" applyAlignment="1" applyProtection="1">
      <alignment horizontal="left"/>
      <protection locked="0"/>
    </xf>
    <xf numFmtId="0" fontId="0" fillId="0" borderId="0" xfId="0" applyAlignment="1">
      <alignment horizontal="left"/>
    </xf>
    <xf numFmtId="0" fontId="5" fillId="0" borderId="0" xfId="0" applyFont="1"/>
    <xf numFmtId="49" fontId="45" fillId="4" borderId="3" xfId="0" applyNumberFormat="1" applyFont="1" applyFill="1" applyBorder="1" applyProtection="1">
      <protection locked="0"/>
    </xf>
    <xf numFmtId="49" fontId="0" fillId="4" borderId="3" xfId="0" applyNumberFormat="1" applyFill="1" applyBorder="1" applyProtection="1">
      <protection locked="0"/>
    </xf>
    <xf numFmtId="49" fontId="0" fillId="0" borderId="3" xfId="0" applyNumberFormat="1" applyBorder="1" applyAlignment="1">
      <alignment horizontal="center"/>
    </xf>
    <xf numFmtId="0" fontId="0" fillId="0" borderId="3" xfId="0" applyBorder="1" applyAlignment="1">
      <alignment horizontal="center"/>
    </xf>
    <xf numFmtId="0" fontId="22" fillId="0" borderId="1" xfId="0" applyFont="1" applyBorder="1" applyAlignment="1">
      <alignment horizontal="center" wrapText="1"/>
    </xf>
    <xf numFmtId="6" fontId="22" fillId="0" borderId="1" xfId="0" applyNumberFormat="1" applyFont="1" applyBorder="1" applyAlignment="1">
      <alignment horizontal="center"/>
    </xf>
    <xf numFmtId="0" fontId="16" fillId="6" borderId="0" xfId="6" applyFont="1" applyFill="1" applyBorder="1" applyAlignment="1" applyProtection="1">
      <alignment horizontal="center"/>
    </xf>
    <xf numFmtId="0" fontId="0" fillId="0" borderId="0" xfId="0" applyAlignment="1">
      <alignment horizontal="left" wrapText="1"/>
    </xf>
    <xf numFmtId="10" fontId="49" fillId="4" borderId="15" xfId="0" applyNumberFormat="1" applyFont="1" applyFill="1" applyBorder="1"/>
    <xf numFmtId="10" fontId="0" fillId="4" borderId="5" xfId="0" applyNumberFormat="1" applyFill="1" applyBorder="1"/>
    <xf numFmtId="10" fontId="49" fillId="4" borderId="1" xfId="0" applyNumberFormat="1" applyFont="1" applyFill="1" applyBorder="1"/>
    <xf numFmtId="10" fontId="0" fillId="4" borderId="1" xfId="0" applyNumberFormat="1" applyFill="1" applyBorder="1"/>
    <xf numFmtId="10" fontId="0" fillId="4" borderId="1" xfId="0" applyNumberFormat="1" applyFill="1" applyBorder="1" applyAlignment="1">
      <alignment horizontal="right"/>
    </xf>
    <xf numFmtId="0" fontId="0" fillId="0" borderId="10" xfId="0" applyBorder="1" applyAlignment="1">
      <alignment horizontal="center" wrapText="1"/>
    </xf>
    <xf numFmtId="0" fontId="0" fillId="0" borderId="15" xfId="0" applyBorder="1" applyAlignment="1">
      <alignment horizontal="center" wrapText="1"/>
    </xf>
    <xf numFmtId="0" fontId="0" fillId="0" borderId="5" xfId="0" applyBorder="1" applyAlignment="1">
      <alignment horizontal="center" wrapText="1"/>
    </xf>
    <xf numFmtId="0" fontId="0" fillId="0" borderId="10" xfId="0" applyBorder="1" applyAlignment="1">
      <alignment horizontal="center"/>
    </xf>
    <xf numFmtId="37" fontId="49" fillId="0" borderId="10" xfId="0" applyNumberFormat="1" applyFont="1" applyBorder="1" applyAlignment="1">
      <alignment horizontal="right"/>
    </xf>
    <xf numFmtId="37" fontId="49" fillId="0" borderId="5" xfId="0" applyNumberFormat="1" applyFont="1" applyBorder="1" applyAlignment="1">
      <alignment horizontal="right"/>
    </xf>
    <xf numFmtId="0" fontId="0" fillId="0" borderId="9" xfId="9" applyFont="1" applyBorder="1" applyAlignment="1">
      <alignment horizontal="center"/>
    </xf>
    <xf numFmtId="0" fontId="0" fillId="0" borderId="8" xfId="9" applyFont="1" applyBorder="1" applyAlignment="1">
      <alignment horizontal="center"/>
    </xf>
    <xf numFmtId="0" fontId="24" fillId="0" borderId="0" xfId="0" applyFont="1" applyAlignment="1">
      <alignment horizontal="left" vertical="center" wrapText="1"/>
    </xf>
    <xf numFmtId="0" fontId="16" fillId="6" borderId="3" xfId="6" applyFont="1" applyFill="1" applyBorder="1" applyProtection="1"/>
    <xf numFmtId="0" fontId="5" fillId="0" borderId="3" xfId="0" applyFont="1" applyBorder="1" applyAlignment="1">
      <alignment horizontal="center"/>
    </xf>
    <xf numFmtId="0" fontId="5" fillId="0" borderId="0" xfId="0" applyFont="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31" fillId="6" borderId="10" xfId="6" applyFont="1" applyFill="1" applyBorder="1" applyAlignment="1" applyProtection="1">
      <alignment horizontal="center" wrapText="1"/>
    </xf>
    <xf numFmtId="0" fontId="31" fillId="6" borderId="15" xfId="6" applyFont="1" applyFill="1" applyBorder="1" applyAlignment="1" applyProtection="1">
      <alignment horizontal="center" wrapText="1"/>
    </xf>
    <xf numFmtId="0" fontId="31" fillId="6" borderId="35" xfId="6" applyFont="1" applyFill="1" applyBorder="1" applyAlignment="1" applyProtection="1">
      <alignment horizontal="center" wrapText="1"/>
    </xf>
    <xf numFmtId="37" fontId="0" fillId="9" borderId="10" xfId="0" applyNumberFormat="1" applyFill="1" applyBorder="1" applyAlignment="1">
      <alignment horizontal="center"/>
    </xf>
    <xf numFmtId="37" fontId="0" fillId="9" borderId="5" xfId="0" applyNumberFormat="1" applyFill="1" applyBorder="1" applyAlignment="1">
      <alignment horizontal="center"/>
    </xf>
    <xf numFmtId="0" fontId="0" fillId="0" borderId="4" xfId="0" applyBorder="1" applyAlignment="1">
      <alignment horizontal="center"/>
    </xf>
    <xf numFmtId="37" fontId="49" fillId="0" borderId="5" xfId="0" applyNumberFormat="1" applyFont="1" applyBorder="1"/>
    <xf numFmtId="37" fontId="0" fillId="0" borderId="1" xfId="0" applyNumberFormat="1" applyBorder="1"/>
    <xf numFmtId="37" fontId="0" fillId="9" borderId="12" xfId="0" applyNumberFormat="1" applyFill="1" applyBorder="1" applyAlignment="1">
      <alignment horizontal="center"/>
    </xf>
    <xf numFmtId="37" fontId="0" fillId="9" borderId="2" xfId="0" applyNumberFormat="1" applyFill="1" applyBorder="1" applyAlignment="1">
      <alignment horizontal="center"/>
    </xf>
    <xf numFmtId="37" fontId="0" fillId="9" borderId="16" xfId="0" applyNumberFormat="1" applyFill="1" applyBorder="1" applyAlignment="1">
      <alignment horizontal="center"/>
    </xf>
    <xf numFmtId="37" fontId="0" fillId="9" borderId="1" xfId="0" applyNumberFormat="1" applyFill="1" applyBorder="1" applyAlignment="1">
      <alignment horizontal="center"/>
    </xf>
    <xf numFmtId="37" fontId="49" fillId="4" borderId="1" xfId="0" applyNumberFormat="1" applyFont="1" applyFill="1" applyBorder="1"/>
    <xf numFmtId="37" fontId="0" fillId="4" borderId="1" xfId="0" applyNumberFormat="1" applyFill="1" applyBorder="1"/>
    <xf numFmtId="37" fontId="0" fillId="9" borderId="15" xfId="0" applyNumberFormat="1" applyFill="1" applyBorder="1" applyAlignment="1">
      <alignment horizontal="center"/>
    </xf>
    <xf numFmtId="0" fontId="6" fillId="0" borderId="12" xfId="0" applyFont="1" applyBorder="1" applyAlignment="1">
      <alignment horizontal="center" wrapText="1"/>
    </xf>
    <xf numFmtId="0" fontId="6" fillId="0" borderId="13" xfId="0" applyFont="1" applyBorder="1" applyAlignment="1">
      <alignment horizontal="center" wrapText="1"/>
    </xf>
    <xf numFmtId="37" fontId="0" fillId="0" borderId="9"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12"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37" fontId="0" fillId="0" borderId="13" xfId="0" applyNumberFormat="1" applyBorder="1" applyAlignment="1" applyProtection="1">
      <alignment horizontal="right"/>
      <protection locked="0"/>
    </xf>
    <xf numFmtId="37" fontId="0" fillId="0" borderId="8" xfId="0" applyNumberFormat="1" applyBorder="1" applyAlignment="1" applyProtection="1">
      <alignment horizontal="right"/>
      <protection locked="0"/>
    </xf>
    <xf numFmtId="0" fontId="6" fillId="0" borderId="2" xfId="0" applyFont="1" applyBorder="1" applyAlignment="1">
      <alignment horizontal="center" wrapText="1"/>
    </xf>
    <xf numFmtId="0" fontId="6" fillId="0" borderId="0" xfId="0" applyFont="1" applyAlignment="1">
      <alignment horizontal="center" wrapText="1"/>
    </xf>
    <xf numFmtId="0" fontId="6" fillId="0" borderId="14" xfId="0" applyFont="1" applyBorder="1" applyAlignment="1">
      <alignment horizontal="center" wrapText="1"/>
    </xf>
    <xf numFmtId="0" fontId="6" fillId="0" borderId="16" xfId="0" applyFont="1" applyBorder="1" applyAlignment="1">
      <alignment horizontal="center" wrapText="1"/>
    </xf>
    <xf numFmtId="0" fontId="6" fillId="0" borderId="3" xfId="0" applyFont="1" applyBorder="1" applyAlignment="1">
      <alignment horizontal="center" wrapText="1"/>
    </xf>
    <xf numFmtId="0" fontId="6" fillId="0" borderId="17" xfId="0" applyFont="1" applyBorder="1" applyAlignment="1">
      <alignment horizontal="center" wrapText="1"/>
    </xf>
    <xf numFmtId="49" fontId="31" fillId="6" borderId="0" xfId="6" applyNumberFormat="1" applyFont="1" applyFill="1" applyBorder="1" applyAlignment="1" applyProtection="1">
      <alignment horizontal="left" vertical="top" wrapText="1"/>
    </xf>
    <xf numFmtId="0" fontId="6" fillId="0" borderId="7" xfId="0" applyFont="1" applyBorder="1" applyAlignment="1">
      <alignment horizontal="center" wrapText="1"/>
    </xf>
    <xf numFmtId="0" fontId="31" fillId="6" borderId="0" xfId="6" applyFont="1" applyFill="1" applyAlignment="1" applyProtection="1">
      <alignment wrapText="1"/>
    </xf>
    <xf numFmtId="0" fontId="31" fillId="6" borderId="0" xfId="6" applyFont="1" applyFill="1" applyBorder="1" applyAlignment="1" applyProtection="1">
      <alignment wrapText="1"/>
    </xf>
    <xf numFmtId="0" fontId="31" fillId="6" borderId="0" xfId="6" applyFont="1" applyFill="1" applyAlignment="1" applyProtection="1">
      <alignment horizontal="left" vertical="top" wrapText="1"/>
    </xf>
    <xf numFmtId="49" fontId="49" fillId="4" borderId="12" xfId="0" applyNumberFormat="1" applyFont="1" applyFill="1" applyBorder="1" applyAlignment="1" applyProtection="1">
      <alignment vertical="top" wrapText="1"/>
      <protection locked="0"/>
    </xf>
    <xf numFmtId="49" fontId="0" fillId="4" borderId="7"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49" fontId="0" fillId="4" borderId="16"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4" xfId="0" applyNumberFormat="1" applyFill="1" applyBorder="1" applyAlignment="1" applyProtection="1">
      <alignment horizontal="left" vertical="top" wrapText="1"/>
      <protection locked="0"/>
    </xf>
    <xf numFmtId="37" fontId="0" fillId="0" borderId="16" xfId="0" applyNumberFormat="1" applyBorder="1" applyAlignment="1" applyProtection="1">
      <alignment horizontal="right"/>
      <protection locked="0"/>
    </xf>
    <xf numFmtId="37" fontId="0" fillId="0" borderId="3" xfId="0" applyNumberFormat="1" applyBorder="1" applyAlignment="1" applyProtection="1">
      <alignment horizontal="right"/>
      <protection locked="0"/>
    </xf>
    <xf numFmtId="37" fontId="0" fillId="0" borderId="17" xfId="0" applyNumberFormat="1" applyBorder="1" applyAlignment="1" applyProtection="1">
      <alignment horizontal="right"/>
      <protection locked="0"/>
    </xf>
    <xf numFmtId="0" fontId="16" fillId="6" borderId="0" xfId="6" applyFont="1" applyFill="1" applyAlignment="1" applyProtection="1">
      <alignment horizontal="center"/>
    </xf>
    <xf numFmtId="37" fontId="49" fillId="4" borderId="5" xfId="0" applyNumberFormat="1" applyFont="1" applyFill="1" applyBorder="1"/>
    <xf numFmtId="37" fontId="0" fillId="4" borderId="21" xfId="0" applyNumberFormat="1" applyFill="1" applyBorder="1"/>
    <xf numFmtId="0" fontId="31" fillId="6" borderId="0" xfId="6" applyFont="1" applyFill="1" applyAlignment="1" applyProtection="1">
      <alignment horizontal="left"/>
    </xf>
    <xf numFmtId="0" fontId="0" fillId="0" borderId="0" xfId="6" applyFont="1" applyFill="1" applyBorder="1" applyAlignment="1" applyProtection="1">
      <alignment horizontal="left" wrapText="1"/>
    </xf>
    <xf numFmtId="0" fontId="31" fillId="6" borderId="0" xfId="6" applyFont="1" applyFill="1" applyAlignment="1" applyProtection="1">
      <alignment vertical="top" wrapText="1"/>
    </xf>
    <xf numFmtId="37" fontId="49" fillId="0" borderId="10" xfId="0" applyNumberFormat="1" applyFont="1" applyBorder="1"/>
    <xf numFmtId="37" fontId="0" fillId="0" borderId="33" xfId="0" applyNumberFormat="1" applyBorder="1" applyAlignment="1">
      <alignment horizontal="right"/>
    </xf>
    <xf numFmtId="0" fontId="12" fillId="6" borderId="0" xfId="6" applyFont="1" applyFill="1" applyAlignment="1" applyProtection="1">
      <alignment horizontal="left" vertical="center" wrapText="1"/>
    </xf>
    <xf numFmtId="0" fontId="12" fillId="6" borderId="0" xfId="6" applyFont="1" applyFill="1" applyBorder="1" applyAlignment="1" applyProtection="1">
      <alignment horizontal="left" vertical="center" wrapText="1"/>
    </xf>
    <xf numFmtId="37" fontId="49" fillId="0" borderId="10" xfId="0" applyNumberFormat="1" applyFont="1" applyBorder="1" applyAlignment="1" applyProtection="1">
      <alignment vertical="center"/>
      <protection locked="0"/>
    </xf>
    <xf numFmtId="37" fontId="0" fillId="0" borderId="33" xfId="0" applyNumberFormat="1" applyBorder="1" applyAlignment="1" applyProtection="1">
      <alignment horizontal="right" vertical="center"/>
      <protection locked="0"/>
    </xf>
    <xf numFmtId="0" fontId="31" fillId="6" borderId="0" xfId="6" applyFont="1" applyFill="1" applyBorder="1" applyAlignment="1" applyProtection="1">
      <alignment horizontal="center"/>
    </xf>
    <xf numFmtId="0" fontId="0" fillId="0" borderId="16" xfId="0" applyBorder="1" applyAlignment="1">
      <alignment horizontal="center"/>
    </xf>
    <xf numFmtId="0" fontId="0" fillId="0" borderId="17" xfId="0" applyBorder="1" applyAlignment="1">
      <alignment horizontal="center"/>
    </xf>
    <xf numFmtId="168" fontId="5" fillId="5" borderId="0" xfId="0" applyNumberFormat="1" applyFont="1" applyFill="1" applyAlignment="1">
      <alignment horizontal="center"/>
    </xf>
    <xf numFmtId="0" fontId="0" fillId="0" borderId="1" xfId="0" applyBorder="1" applyAlignment="1">
      <alignment horizontal="center"/>
    </xf>
    <xf numFmtId="168" fontId="29" fillId="5" borderId="0" xfId="0" applyNumberFormat="1" applyFont="1" applyFill="1" applyAlignment="1">
      <alignment horizontal="left"/>
    </xf>
    <xf numFmtId="168" fontId="29" fillId="5" borderId="14" xfId="0" applyNumberFormat="1" applyFont="1" applyFill="1" applyBorder="1" applyAlignment="1">
      <alignment horizontal="left"/>
    </xf>
    <xf numFmtId="168" fontId="0" fillId="5" borderId="0" xfId="0" applyNumberFormat="1" applyFill="1" applyAlignment="1">
      <alignment horizontal="left"/>
    </xf>
    <xf numFmtId="0" fontId="0" fillId="0" borderId="0" xfId="0" quotePrefix="1" applyAlignment="1">
      <alignment horizontal="left"/>
    </xf>
    <xf numFmtId="168" fontId="66" fillId="5" borderId="0" xfId="0" applyNumberFormat="1" applyFont="1" applyFill="1" applyAlignment="1">
      <alignment horizontal="left"/>
    </xf>
    <xf numFmtId="168" fontId="66" fillId="5" borderId="14" xfId="0" applyNumberFormat="1" applyFont="1" applyFill="1" applyBorder="1" applyAlignment="1">
      <alignment horizontal="left"/>
    </xf>
    <xf numFmtId="0" fontId="66" fillId="16" borderId="0" xfId="0" applyFont="1" applyFill="1" applyAlignment="1">
      <alignment wrapText="1"/>
    </xf>
    <xf numFmtId="168" fontId="31" fillId="6" borderId="0" xfId="6" applyNumberFormat="1" applyFont="1" applyFill="1" applyBorder="1" applyAlignment="1" applyProtection="1">
      <alignment horizontal="left"/>
    </xf>
    <xf numFmtId="0" fontId="66" fillId="0" borderId="0" xfId="0" applyFont="1" applyAlignment="1">
      <alignment wrapText="1"/>
    </xf>
    <xf numFmtId="168" fontId="0" fillId="5" borderId="14" xfId="0" applyNumberFormat="1" applyFill="1" applyBorder="1" applyAlignment="1">
      <alignment horizontal="left"/>
    </xf>
    <xf numFmtId="0" fontId="29" fillId="0" borderId="3" xfId="10" applyFont="1" applyBorder="1" applyAlignment="1">
      <alignment horizontal="center"/>
    </xf>
    <xf numFmtId="168" fontId="16" fillId="6" borderId="10" xfId="12" applyNumberFormat="1" applyFont="1" applyFill="1" applyBorder="1" applyAlignment="1" applyProtection="1">
      <alignment horizontal="center" wrapText="1"/>
    </xf>
    <xf numFmtId="168" fontId="16" fillId="6" borderId="5" xfId="12" applyNumberFormat="1" applyFont="1" applyFill="1" applyBorder="1" applyAlignment="1" applyProtection="1">
      <alignment horizontal="center" wrapText="1"/>
    </xf>
    <xf numFmtId="168" fontId="32" fillId="6" borderId="10" xfId="12" applyNumberFormat="1" applyFont="1" applyFill="1" applyBorder="1" applyAlignment="1" applyProtection="1">
      <alignment horizontal="center" wrapText="1"/>
    </xf>
    <xf numFmtId="168" fontId="32" fillId="6" borderId="5" xfId="12" applyNumberFormat="1" applyFont="1" applyFill="1" applyBorder="1" applyAlignment="1" applyProtection="1">
      <alignment horizontal="center" wrapText="1"/>
    </xf>
    <xf numFmtId="168" fontId="43" fillId="0" borderId="7" xfId="12" applyNumberFormat="1" applyFont="1" applyFill="1" applyBorder="1" applyAlignment="1" applyProtection="1">
      <alignment horizontal="left" vertical="top"/>
    </xf>
    <xf numFmtId="168" fontId="43" fillId="0" borderId="0" xfId="12" applyNumberFormat="1" applyFont="1" applyFill="1" applyBorder="1" applyAlignment="1" applyProtection="1">
      <alignment horizontal="left" vertical="top"/>
    </xf>
    <xf numFmtId="0" fontId="52" fillId="0" borderId="9" xfId="10" applyFont="1" applyBorder="1" applyAlignment="1">
      <alignment horizontal="center"/>
    </xf>
    <xf numFmtId="0" fontId="52" fillId="0" borderId="4" xfId="10" applyFont="1" applyBorder="1" applyAlignment="1">
      <alignment horizontal="center"/>
    </xf>
    <xf numFmtId="0" fontId="52" fillId="0" borderId="8" xfId="10" applyFont="1" applyBorder="1" applyAlignment="1">
      <alignment horizontal="center"/>
    </xf>
    <xf numFmtId="168" fontId="29" fillId="5" borderId="10" xfId="10" applyNumberFormat="1" applyFont="1" applyFill="1" applyBorder="1" applyAlignment="1">
      <alignment horizontal="center" vertical="center"/>
    </xf>
    <xf numFmtId="168" fontId="29" fillId="5" borderId="15" xfId="10" applyNumberFormat="1" applyFont="1" applyFill="1" applyBorder="1" applyAlignment="1">
      <alignment horizontal="center" vertical="center"/>
    </xf>
    <xf numFmtId="168" fontId="29" fillId="5" borderId="5" xfId="10" applyNumberFormat="1" applyFont="1" applyFill="1" applyBorder="1" applyAlignment="1">
      <alignment horizontal="center" vertical="center"/>
    </xf>
    <xf numFmtId="168" fontId="52" fillId="5" borderId="0" xfId="10" applyNumberFormat="1" applyFont="1" applyFill="1"/>
    <xf numFmtId="168" fontId="52" fillId="5" borderId="14" xfId="10" applyNumberFormat="1" applyFont="1" applyFill="1" applyBorder="1"/>
    <xf numFmtId="168" fontId="52" fillId="5" borderId="3" xfId="10" applyNumberFormat="1" applyFont="1" applyFill="1" applyBorder="1"/>
    <xf numFmtId="168" fontId="52" fillId="5" borderId="17" xfId="10" applyNumberFormat="1" applyFont="1" applyFill="1" applyBorder="1"/>
    <xf numFmtId="168" fontId="33" fillId="0" borderId="0" xfId="10" applyNumberFormat="1" applyFont="1" applyAlignment="1">
      <alignment horizontal="center" wrapText="1"/>
    </xf>
    <xf numFmtId="0" fontId="29" fillId="0" borderId="9" xfId="10" applyFont="1" applyBorder="1" applyAlignment="1">
      <alignment horizontal="left"/>
    </xf>
    <xf numFmtId="0" fontId="29" fillId="0" borderId="4" xfId="10" applyFont="1" applyBorder="1" applyAlignment="1">
      <alignment horizontal="left"/>
    </xf>
    <xf numFmtId="0" fontId="29" fillId="0" borderId="8" xfId="10" applyFont="1" applyBorder="1" applyAlignment="1">
      <alignment horizontal="left"/>
    </xf>
    <xf numFmtId="168" fontId="33" fillId="0" borderId="0" xfId="10" applyNumberFormat="1" applyFont="1" applyAlignment="1">
      <alignment horizontal="center" vertical="center" wrapText="1"/>
    </xf>
    <xf numFmtId="168" fontId="33" fillId="0" borderId="0" xfId="10" quotePrefix="1" applyNumberFormat="1" applyFont="1" applyAlignment="1">
      <alignment horizontal="center" vertical="center" wrapText="1"/>
    </xf>
    <xf numFmtId="0" fontId="16" fillId="6" borderId="9" xfId="6" applyFont="1" applyFill="1" applyBorder="1" applyProtection="1"/>
    <xf numFmtId="0" fontId="16" fillId="6" borderId="4" xfId="6" applyFont="1" applyFill="1" applyBorder="1" applyProtection="1"/>
    <xf numFmtId="0" fontId="16" fillId="6" borderId="8" xfId="6" applyFont="1" applyFill="1" applyBorder="1" applyProtection="1"/>
    <xf numFmtId="168" fontId="29" fillId="5" borderId="0" xfId="10" applyNumberFormat="1" applyFont="1" applyFill="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16" fillId="6" borderId="12" xfId="6" applyFont="1" applyFill="1" applyBorder="1" applyProtection="1"/>
    <xf numFmtId="0" fontId="16" fillId="6" borderId="7" xfId="6" applyFont="1" applyFill="1" applyBorder="1" applyProtection="1"/>
    <xf numFmtId="0" fontId="16" fillId="6" borderId="13" xfId="6" applyFont="1" applyFill="1" applyBorder="1" applyProtection="1"/>
    <xf numFmtId="0" fontId="16" fillId="6" borderId="16" xfId="6" applyFont="1" applyFill="1" applyBorder="1" applyProtection="1"/>
    <xf numFmtId="0" fontId="16" fillId="6" borderId="17" xfId="6" applyFont="1" applyFill="1" applyBorder="1" applyProtection="1"/>
    <xf numFmtId="0" fontId="29" fillId="0" borderId="9" xfId="0" applyFont="1" applyBorder="1"/>
    <xf numFmtId="0" fontId="29" fillId="0" borderId="4" xfId="0" applyFont="1" applyBorder="1"/>
    <xf numFmtId="0" fontId="29" fillId="0" borderId="8" xfId="0" applyFont="1" applyBorder="1"/>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5" fillId="0" borderId="0" xfId="0" applyFont="1" applyAlignment="1">
      <alignment horizontal="center"/>
    </xf>
    <xf numFmtId="49" fontId="0" fillId="5" borderId="16" xfId="0" applyNumberFormat="1" applyFill="1" applyBorder="1" applyAlignment="1">
      <alignment wrapText="1"/>
    </xf>
    <xf numFmtId="49" fontId="0" fillId="5" borderId="3" xfId="0" applyNumberFormat="1" applyFill="1" applyBorder="1" applyAlignment="1">
      <alignment wrapText="1"/>
    </xf>
    <xf numFmtId="0" fontId="5" fillId="0" borderId="0" xfId="0" applyFont="1" applyAlignment="1">
      <alignment horizontal="right"/>
    </xf>
    <xf numFmtId="0" fontId="64" fillId="6" borderId="10" xfId="6" applyFont="1" applyFill="1" applyBorder="1" applyAlignment="1" applyProtection="1">
      <alignment horizontal="center"/>
    </xf>
    <xf numFmtId="0" fontId="64" fillId="6" borderId="5" xfId="6" applyFont="1" applyFill="1" applyBorder="1" applyAlignment="1" applyProtection="1">
      <alignment horizontal="center"/>
    </xf>
    <xf numFmtId="0" fontId="64" fillId="6" borderId="10" xfId="6" applyFont="1" applyFill="1" applyBorder="1" applyAlignment="1" applyProtection="1">
      <alignment horizontal="center" wrapText="1"/>
    </xf>
    <xf numFmtId="0" fontId="64" fillId="6" borderId="5" xfId="6" applyFont="1" applyFill="1" applyBorder="1" applyAlignment="1" applyProtection="1">
      <alignment horizontal="center" wrapText="1"/>
    </xf>
    <xf numFmtId="38" fontId="47" fillId="0" borderId="24" xfId="13" applyNumberFormat="1" applyFont="1" applyBorder="1" applyAlignment="1">
      <alignment horizontal="center" wrapText="1"/>
    </xf>
    <xf numFmtId="38" fontId="47" fillId="0" borderId="15" xfId="13" applyNumberFormat="1" applyFont="1" applyBorder="1" applyAlignment="1">
      <alignment horizontal="center" wrapText="1"/>
    </xf>
    <xf numFmtId="38" fontId="47" fillId="0" borderId="10" xfId="13" applyNumberFormat="1" applyFont="1" applyBorder="1" applyAlignment="1">
      <alignment horizontal="center" wrapText="1"/>
    </xf>
    <xf numFmtId="0" fontId="63" fillId="0" borderId="3" xfId="13" applyBorder="1" applyAlignment="1">
      <alignment horizontal="center"/>
    </xf>
    <xf numFmtId="37" fontId="47" fillId="0" borderId="22" xfId="13" applyNumberFormat="1" applyFont="1" applyBorder="1" applyAlignment="1">
      <alignment horizontal="center" wrapText="1"/>
    </xf>
    <xf numFmtId="37" fontId="47" fillId="0" borderId="25" xfId="13" applyNumberFormat="1" applyFont="1" applyBorder="1" applyAlignment="1">
      <alignment horizontal="center" wrapText="1"/>
    </xf>
    <xf numFmtId="37" fontId="47" fillId="0" borderId="27" xfId="13" applyNumberFormat="1" applyFont="1" applyBorder="1" applyAlignment="1">
      <alignment horizontal="center" wrapText="1"/>
    </xf>
    <xf numFmtId="168" fontId="54" fillId="6" borderId="0" xfId="6" applyNumberFormat="1" applyFont="1" applyFill="1" applyAlignment="1" applyProtection="1">
      <alignment horizontal="left"/>
    </xf>
    <xf numFmtId="0" fontId="0" fillId="0" borderId="0" xfId="0" applyAlignment="1">
      <alignment horizontal="left" vertical="top" wrapText="1"/>
    </xf>
    <xf numFmtId="0" fontId="0" fillId="0" borderId="14" xfId="0" applyBorder="1" applyAlignment="1">
      <alignment horizontal="left" vertical="top" wrapText="1"/>
    </xf>
    <xf numFmtId="37" fontId="5" fillId="0" borderId="0" xfId="8" applyNumberFormat="1" applyFont="1" applyAlignment="1">
      <alignment horizontal="left" wrapText="1"/>
    </xf>
    <xf numFmtId="168" fontId="32" fillId="6" borderId="0" xfId="6" applyNumberFormat="1" applyFont="1" applyFill="1" applyAlignment="1" applyProtection="1">
      <alignment horizontal="left"/>
    </xf>
    <xf numFmtId="0" fontId="0" fillId="0" borderId="0" xfId="0" quotePrefix="1" applyAlignment="1">
      <alignment horizontal="right" vertical="top"/>
    </xf>
    <xf numFmtId="0" fontId="52" fillId="0" borderId="0" xfId="0" applyFont="1"/>
    <xf numFmtId="0" fontId="52" fillId="0" borderId="0" xfId="0" applyFont="1" applyAlignment="1">
      <alignment horizontal="left" vertical="top" wrapText="1"/>
    </xf>
    <xf numFmtId="0" fontId="29" fillId="0" borderId="0" xfId="0" applyFont="1" applyAlignment="1">
      <alignment horizontal="left" vertical="top" wrapText="1"/>
    </xf>
    <xf numFmtId="0" fontId="29" fillId="0" borderId="14" xfId="0" applyFont="1" applyBorder="1" applyAlignment="1">
      <alignment horizontal="left" vertical="top" wrapText="1"/>
    </xf>
    <xf numFmtId="9" fontId="0" fillId="0" borderId="12"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4" xfId="0" applyNumberFormat="1" applyBorder="1" applyAlignment="1" applyProtection="1">
      <alignment horizontal="center" wrapText="1"/>
      <protection locked="0"/>
    </xf>
    <xf numFmtId="9" fontId="0" fillId="0" borderId="16"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9" fontId="0" fillId="0" borderId="17" xfId="0" applyNumberFormat="1" applyBorder="1" applyAlignment="1" applyProtection="1">
      <alignment horizontal="center" wrapText="1"/>
      <protection locked="0"/>
    </xf>
    <xf numFmtId="0" fontId="5" fillId="0" borderId="9" xfId="0" applyFont="1" applyBorder="1" applyAlignment="1">
      <alignment horizontal="left" wrapText="1"/>
    </xf>
    <xf numFmtId="0" fontId="5" fillId="0" borderId="4" xfId="0" applyFont="1" applyBorder="1" applyAlignment="1">
      <alignment horizontal="left" wrapText="1"/>
    </xf>
    <xf numFmtId="0" fontId="5" fillId="0" borderId="8" xfId="0" applyFont="1" applyBorder="1" applyAlignment="1">
      <alignment horizontal="left" wrapText="1"/>
    </xf>
    <xf numFmtId="9" fontId="0" fillId="0" borderId="9"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8" xfId="0" applyNumberFormat="1"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8" xfId="0" applyBorder="1" applyAlignment="1" applyProtection="1">
      <alignment horizontal="center" wrapText="1"/>
      <protection locked="0"/>
    </xf>
    <xf numFmtId="0" fontId="56" fillId="0" borderId="9" xfId="7" applyFont="1" applyBorder="1" applyAlignment="1">
      <alignment horizontal="center"/>
    </xf>
    <xf numFmtId="0" fontId="56" fillId="0" borderId="4" xfId="7" applyFont="1" applyBorder="1" applyAlignment="1">
      <alignment horizontal="center"/>
    </xf>
    <xf numFmtId="0" fontId="56" fillId="0" borderId="8" xfId="7" applyFont="1" applyBorder="1" applyAlignment="1">
      <alignment horizontal="center"/>
    </xf>
    <xf numFmtId="168" fontId="54" fillId="6" borderId="0" xfId="6" applyNumberFormat="1" applyFont="1" applyFill="1" applyAlignment="1" applyProtection="1">
      <alignment horizontal="center"/>
    </xf>
    <xf numFmtId="0" fontId="12" fillId="16" borderId="10" xfId="6" quotePrefix="1" applyFont="1" applyFill="1" applyBorder="1" applyAlignment="1" applyProtection="1">
      <alignment horizontal="center" vertical="top" wrapText="1"/>
    </xf>
    <xf numFmtId="0" fontId="12" fillId="16" borderId="5" xfId="6" quotePrefix="1" applyFont="1" applyFill="1" applyBorder="1" applyAlignment="1" applyProtection="1">
      <alignment horizontal="center" vertical="top" wrapText="1"/>
    </xf>
    <xf numFmtId="0" fontId="66" fillId="16" borderId="10" xfId="0" applyFont="1" applyFill="1" applyBorder="1" applyAlignment="1">
      <alignment horizontal="center" vertical="top" wrapText="1"/>
    </xf>
    <xf numFmtId="0" fontId="66" fillId="16" borderId="16" xfId="0" applyFont="1" applyFill="1" applyBorder="1" applyAlignment="1">
      <alignment horizontal="center" vertical="top" wrapText="1"/>
    </xf>
    <xf numFmtId="168" fontId="12" fillId="5" borderId="12" xfId="6" applyNumberFormat="1" applyFont="1" applyFill="1" applyBorder="1" applyAlignment="1" applyProtection="1">
      <alignment horizontal="center" vertical="center"/>
    </xf>
    <xf numFmtId="168" fontId="12" fillId="5" borderId="13" xfId="6" applyNumberFormat="1" applyFont="1" applyFill="1" applyBorder="1" applyAlignment="1" applyProtection="1">
      <alignment horizontal="center" vertical="center"/>
    </xf>
    <xf numFmtId="168" fontId="12" fillId="5" borderId="2" xfId="6" applyNumberFormat="1" applyFont="1" applyFill="1" applyBorder="1" applyAlignment="1" applyProtection="1">
      <alignment horizontal="center" vertical="center"/>
    </xf>
    <xf numFmtId="168" fontId="12" fillId="5" borderId="14" xfId="6" applyNumberFormat="1" applyFont="1" applyFill="1" applyBorder="1" applyAlignment="1" applyProtection="1">
      <alignment horizontal="center" vertical="center"/>
    </xf>
    <xf numFmtId="168" fontId="12" fillId="5" borderId="16" xfId="6" applyNumberFormat="1" applyFont="1" applyFill="1" applyBorder="1" applyAlignment="1" applyProtection="1">
      <alignment horizontal="center" vertical="center"/>
    </xf>
    <xf numFmtId="168" fontId="12" fillId="5" borderId="17" xfId="6" applyNumberFormat="1" applyFont="1" applyFill="1" applyBorder="1" applyAlignment="1" applyProtection="1">
      <alignment horizontal="center" vertical="center"/>
    </xf>
    <xf numFmtId="168" fontId="31" fillId="5" borderId="10" xfId="6" applyNumberFormat="1" applyFont="1" applyFill="1" applyBorder="1" applyAlignment="1" applyProtection="1">
      <alignment horizontal="center" vertical="top" wrapText="1"/>
    </xf>
    <xf numFmtId="168" fontId="31" fillId="5" borderId="5" xfId="6" applyNumberFormat="1" applyFont="1" applyFill="1" applyBorder="1" applyAlignment="1" applyProtection="1">
      <alignment horizontal="center" vertical="top" wrapText="1"/>
    </xf>
    <xf numFmtId="168" fontId="0" fillId="0" borderId="10" xfId="0" applyNumberFormat="1" applyBorder="1" applyAlignment="1">
      <alignment horizontal="center" vertical="top"/>
    </xf>
    <xf numFmtId="168" fontId="0" fillId="0" borderId="5" xfId="0" applyNumberFormat="1" applyBorder="1" applyAlignment="1">
      <alignment horizontal="center" vertical="top"/>
    </xf>
    <xf numFmtId="0" fontId="12" fillId="0" borderId="13" xfId="6" applyFont="1" applyFill="1" applyBorder="1" applyAlignment="1" applyProtection="1">
      <alignment horizontal="center" vertical="top"/>
    </xf>
    <xf numFmtId="0" fontId="12" fillId="0" borderId="17" xfId="6" applyFont="1" applyFill="1" applyBorder="1" applyAlignment="1" applyProtection="1">
      <alignment horizontal="center" vertical="top"/>
    </xf>
    <xf numFmtId="168" fontId="0" fillId="0" borderId="10" xfId="0" applyNumberFormat="1" applyBorder="1" applyAlignment="1">
      <alignment horizontal="center" vertical="top" wrapText="1"/>
    </xf>
    <xf numFmtId="168" fontId="0" fillId="0" borderId="16" xfId="0" applyNumberFormat="1" applyBorder="1" applyAlignment="1">
      <alignment horizontal="center" vertical="top" wrapText="1"/>
    </xf>
  </cellXfs>
  <cellStyles count="15">
    <cellStyle name="Comma" xfId="4"/>
    <cellStyle name="Comma [0]" xfId="5"/>
    <cellStyle name="Currency" xfId="2"/>
    <cellStyle name="Currency [0]" xfId="3"/>
    <cellStyle name="Hyperlink" xfId="6"/>
    <cellStyle name="Hyperlink 2" xfId="12"/>
    <cellStyle name="Hyperlink 3" xfId="14"/>
    <cellStyle name="Normal" xfId="0" builtinId="0"/>
    <cellStyle name="Normal 2" xfId="7"/>
    <cellStyle name="Normal 2 2" xfId="11"/>
    <cellStyle name="Normal 3" xfId="8"/>
    <cellStyle name="Normal 4" xfId="10"/>
    <cellStyle name="Normal 5" xfId="13"/>
    <cellStyle name="Normal_budget03" xfId="9"/>
    <cellStyle name="Percent" xfId="1"/>
  </cellStyles>
  <dxfs count="89">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505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xmlns=""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xmlns=""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tewhill/Documents/Client%20Files/ep/EP2024-25/AFR/Forms/budget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jtewhill/Documents/Client%20Files/ep/EP2024-25/AFR/Forms/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12530000</v>
          </cell>
        </row>
        <row r="10">
          <cell r="L10">
            <v>1718000</v>
          </cell>
        </row>
        <row r="11">
          <cell r="L11">
            <v>833000</v>
          </cell>
        </row>
        <row r="12">
          <cell r="L12">
            <v>0</v>
          </cell>
        </row>
        <row r="13">
          <cell r="L13">
            <v>956700</v>
          </cell>
        </row>
        <row r="14">
          <cell r="L14">
            <v>350000</v>
          </cell>
        </row>
        <row r="15">
          <cell r="L15">
            <v>1760000</v>
          </cell>
        </row>
        <row r="16">
          <cell r="L16">
            <v>0</v>
          </cell>
        </row>
        <row r="17">
          <cell r="L17">
            <v>0</v>
          </cell>
        </row>
        <row r="18">
          <cell r="L18">
            <v>0</v>
          </cell>
        </row>
        <row r="19">
          <cell r="L19">
            <v>5200000</v>
          </cell>
        </row>
        <row r="20">
          <cell r="L20">
            <v>0</v>
          </cell>
        </row>
        <row r="21">
          <cell r="L21">
            <v>0</v>
          </cell>
        </row>
        <row r="22">
          <cell r="L22">
            <v>0</v>
          </cell>
        </row>
        <row r="25">
          <cell r="L25">
            <v>2113000</v>
          </cell>
        </row>
        <row r="27">
          <cell r="L27">
            <v>745000</v>
          </cell>
        </row>
        <row r="28">
          <cell r="L28">
            <v>4000</v>
          </cell>
        </row>
        <row r="29">
          <cell r="L29">
            <v>0</v>
          </cell>
        </row>
        <row r="30">
          <cell r="L30">
            <v>131000</v>
          </cell>
        </row>
        <row r="31">
          <cell r="L31">
            <v>0</v>
          </cell>
        </row>
        <row r="32">
          <cell r="L32">
            <v>0</v>
          </cell>
        </row>
        <row r="33">
          <cell r="L33">
            <v>0</v>
          </cell>
        </row>
        <row r="34">
          <cell r="L34">
            <v>0</v>
          </cell>
        </row>
        <row r="35">
          <cell r="L35">
            <v>0</v>
          </cell>
        </row>
        <row r="36">
          <cell r="L36">
            <v>0</v>
          </cell>
        </row>
        <row r="39">
          <cell r="L39">
            <v>0</v>
          </cell>
        </row>
        <row r="40">
          <cell r="L40">
            <v>0</v>
          </cell>
        </row>
        <row r="41">
          <cell r="L41">
            <v>0</v>
          </cell>
        </row>
        <row r="42">
          <cell r="L42">
            <v>259025</v>
          </cell>
        </row>
        <row r="44">
          <cell r="L44">
            <v>2700000</v>
          </cell>
        </row>
        <row r="45">
          <cell r="L45">
            <v>160000</v>
          </cell>
        </row>
        <row r="46">
          <cell r="L46">
            <v>0</v>
          </cell>
        </row>
        <row r="47">
          <cell r="L47">
            <v>0</v>
          </cell>
        </row>
        <row r="48">
          <cell r="L48">
            <v>0</v>
          </cell>
        </row>
      </sheetData>
      <sheetData sheetId="3">
        <row r="5">
          <cell r="E5">
            <v>0</v>
          </cell>
          <cell r="N5">
            <v>2993000</v>
          </cell>
        </row>
        <row r="6">
          <cell r="E6">
            <v>0</v>
          </cell>
          <cell r="N6">
            <v>0</v>
          </cell>
        </row>
        <row r="7">
          <cell r="E7">
            <v>0</v>
          </cell>
          <cell r="N7">
            <v>0</v>
          </cell>
        </row>
        <row r="8">
          <cell r="E8">
            <v>0</v>
          </cell>
          <cell r="N8">
            <v>0</v>
          </cell>
        </row>
        <row r="9">
          <cell r="E9">
            <v>0</v>
          </cell>
          <cell r="N9">
            <v>0</v>
          </cell>
        </row>
        <row r="10">
          <cell r="E10">
            <v>0</v>
          </cell>
          <cell r="N10">
            <v>0</v>
          </cell>
        </row>
        <row r="11">
          <cell r="E11">
            <v>0</v>
          </cell>
          <cell r="N11">
            <v>0</v>
          </cell>
        </row>
        <row r="12">
          <cell r="E12">
            <v>0</v>
          </cell>
        </row>
        <row r="13">
          <cell r="E13">
            <v>0</v>
          </cell>
        </row>
        <row r="14">
          <cell r="E14">
            <v>0</v>
          </cell>
          <cell r="N14">
            <v>0</v>
          </cell>
        </row>
        <row r="15">
          <cell r="E15">
            <v>0</v>
          </cell>
        </row>
        <row r="16">
          <cell r="E16">
            <v>0</v>
          </cell>
        </row>
        <row r="17">
          <cell r="E17">
            <v>0</v>
          </cell>
        </row>
        <row r="18">
          <cell r="E18">
            <v>0</v>
          </cell>
        </row>
        <row r="19">
          <cell r="E19">
            <v>0</v>
          </cell>
        </row>
        <row r="20">
          <cell r="E20">
            <v>0</v>
          </cell>
        </row>
        <row r="21">
          <cell r="E21">
            <v>0</v>
          </cell>
          <cell r="N21">
            <v>60000</v>
          </cell>
        </row>
        <row r="22">
          <cell r="N22">
            <v>0</v>
          </cell>
        </row>
        <row r="23">
          <cell r="N23">
            <v>0</v>
          </cell>
        </row>
        <row r="24">
          <cell r="E24">
            <v>0</v>
          </cell>
          <cell r="N24">
            <v>100000</v>
          </cell>
        </row>
        <row r="25">
          <cell r="E25">
            <v>0</v>
          </cell>
        </row>
        <row r="26">
          <cell r="E26">
            <v>0</v>
          </cell>
        </row>
        <row r="27">
          <cell r="E27">
            <v>0</v>
          </cell>
        </row>
        <row r="28">
          <cell r="E28">
            <v>0</v>
          </cell>
        </row>
        <row r="29">
          <cell r="E29">
            <v>0</v>
          </cell>
        </row>
        <row r="30">
          <cell r="E30">
            <v>0</v>
          </cell>
        </row>
        <row r="31">
          <cell r="E31">
            <v>0</v>
          </cell>
        </row>
        <row r="32">
          <cell r="E32">
            <v>0</v>
          </cell>
        </row>
        <row r="33">
          <cell r="E33">
            <v>0</v>
          </cell>
        </row>
        <row r="34">
          <cell r="E34">
            <v>0</v>
          </cell>
        </row>
        <row r="35">
          <cell r="E35">
            <v>0</v>
          </cell>
        </row>
        <row r="40">
          <cell r="E40">
            <v>0</v>
          </cell>
        </row>
        <row r="41">
          <cell r="E41">
            <v>0</v>
          </cell>
        </row>
        <row r="42">
          <cell r="E42">
            <v>0</v>
          </cell>
        </row>
        <row r="43">
          <cell r="E43">
            <v>100000</v>
          </cell>
        </row>
        <row r="44">
          <cell r="E44">
            <v>100000</v>
          </cell>
        </row>
        <row r="45">
          <cell r="E45">
            <v>0</v>
          </cell>
        </row>
      </sheetData>
      <sheetData sheetId="4">
        <row r="8">
          <cell r="K8">
            <v>2575000</v>
          </cell>
        </row>
        <row r="9">
          <cell r="K9">
            <v>51000</v>
          </cell>
        </row>
        <row r="10">
          <cell r="K10">
            <v>74000</v>
          </cell>
        </row>
        <row r="11">
          <cell r="K11">
            <v>0</v>
          </cell>
        </row>
        <row r="12">
          <cell r="K12">
            <v>0</v>
          </cell>
        </row>
        <row r="17">
          <cell r="F17">
            <v>0</v>
          </cell>
        </row>
        <row r="18">
          <cell r="F18">
            <v>0</v>
          </cell>
        </row>
        <row r="19">
          <cell r="F19">
            <v>0</v>
          </cell>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12004607</v>
          </cell>
        </row>
        <row r="9">
          <cell r="J9">
            <v>1679835</v>
          </cell>
        </row>
        <row r="10">
          <cell r="J10">
            <v>572253</v>
          </cell>
        </row>
        <row r="11">
          <cell r="J11">
            <v>0</v>
          </cell>
        </row>
        <row r="12">
          <cell r="J12">
            <v>1012693</v>
          </cell>
        </row>
        <row r="13">
          <cell r="J13">
            <v>1537180</v>
          </cell>
        </row>
        <row r="14">
          <cell r="J14">
            <v>1925768</v>
          </cell>
        </row>
        <row r="15">
          <cell r="J15">
            <v>0</v>
          </cell>
        </row>
        <row r="16">
          <cell r="J16">
            <v>0</v>
          </cell>
        </row>
        <row r="17">
          <cell r="J17">
            <v>0</v>
          </cell>
        </row>
        <row r="18">
          <cell r="J18">
            <v>4396508</v>
          </cell>
        </row>
        <row r="19">
          <cell r="J19">
            <v>565500</v>
          </cell>
        </row>
        <row r="20">
          <cell r="J20">
            <v>0</v>
          </cell>
        </row>
        <row r="21">
          <cell r="J21">
            <v>0</v>
          </cell>
        </row>
        <row r="22">
          <cell r="J22">
            <v>0</v>
          </cell>
        </row>
        <row r="25">
          <cell r="J25">
            <v>2152541</v>
          </cell>
        </row>
        <row r="27">
          <cell r="J27">
            <v>763881</v>
          </cell>
        </row>
        <row r="28">
          <cell r="J28">
            <v>2834</v>
          </cell>
        </row>
        <row r="29">
          <cell r="J29">
            <v>0</v>
          </cell>
        </row>
        <row r="30">
          <cell r="J30">
            <v>131550</v>
          </cell>
        </row>
        <row r="31">
          <cell r="J31">
            <v>0</v>
          </cell>
        </row>
        <row r="32">
          <cell r="J32">
            <v>0</v>
          </cell>
        </row>
        <row r="33">
          <cell r="J33">
            <v>0</v>
          </cell>
        </row>
        <row r="34">
          <cell r="J34">
            <v>0</v>
          </cell>
        </row>
        <row r="35">
          <cell r="J35">
            <v>0</v>
          </cell>
        </row>
        <row r="36">
          <cell r="J36">
            <v>0</v>
          </cell>
        </row>
        <row r="38">
          <cell r="J38">
            <v>3300</v>
          </cell>
        </row>
        <row r="39">
          <cell r="J39">
            <v>0</v>
          </cell>
        </row>
        <row r="40">
          <cell r="J40">
            <v>0</v>
          </cell>
        </row>
        <row r="41">
          <cell r="J41">
            <v>241181</v>
          </cell>
        </row>
        <row r="43">
          <cell r="J43">
            <v>3570068</v>
          </cell>
        </row>
        <row r="44">
          <cell r="J44">
            <v>218576</v>
          </cell>
        </row>
        <row r="45">
          <cell r="J45">
            <v>0</v>
          </cell>
        </row>
        <row r="46">
          <cell r="J46">
            <v>0</v>
          </cell>
        </row>
        <row r="47">
          <cell r="J47">
            <v>5100</v>
          </cell>
        </row>
      </sheetData>
      <sheetData sheetId="3">
        <row r="30">
          <cell r="F30">
            <v>2</v>
          </cell>
        </row>
      </sheetData>
      <sheetData sheetId="4">
        <row r="19">
          <cell r="F19">
            <v>68827</v>
          </cell>
        </row>
      </sheetData>
      <sheetData sheetId="5">
        <row r="26">
          <cell r="O26">
            <v>0</v>
          </cell>
        </row>
        <row r="48">
          <cell r="O48">
            <v>0</v>
          </cell>
        </row>
      </sheetData>
      <sheetData sheetId="6">
        <row r="6">
          <cell r="F6">
            <v>2571655</v>
          </cell>
        </row>
        <row r="29">
          <cell r="T29">
            <v>59043</v>
          </cell>
        </row>
      </sheetData>
      <sheetData sheetId="7"/>
      <sheetData sheetId="8">
        <row r="6">
          <cell r="N6">
            <v>0</v>
          </cell>
        </row>
        <row r="7">
          <cell r="N7">
            <v>0</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0</v>
          </cell>
        </row>
        <row r="25">
          <cell r="N25">
            <v>0</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0</v>
          </cell>
        </row>
      </sheetData>
      <sheetData sheetId="9"/>
      <sheetData sheetId="10"/>
      <sheetData sheetId="11">
        <row r="17">
          <cell r="K17">
            <v>1846482</v>
          </cell>
        </row>
      </sheetData>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Downloads/Forms/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Downloads/Forms/CS%20FINAL%20FILES%20FROM%20ADE/Program_200_Budget_and_Program_200_Actual_column_totals_should_equal_line_27_on_page_2." TargetMode="External"/><Relationship Id="rId1" Type="http://schemas.openxmlformats.org/officeDocument/2006/relationships/hyperlink" Target="../Downloads/Forms/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5"/>
  <sheetViews>
    <sheetView showGridLines="0" zoomScaleNormal="100" workbookViewId="0">
      <selection activeCell="Q34" sqref="Q33:R34"/>
    </sheetView>
  </sheetViews>
  <sheetFormatPr defaultColWidth="9.33203125" defaultRowHeight="12.75" x14ac:dyDescent="0.2"/>
  <cols>
    <col min="1" max="1" width="22.1640625" customWidth="1"/>
    <col min="2" max="2" width="6.33203125" customWidth="1"/>
    <col min="3" max="3" width="5.33203125" customWidth="1"/>
    <col min="4" max="4" width="9.33203125" customWidth="1"/>
    <col min="5" max="5" width="6.33203125" customWidth="1"/>
    <col min="6" max="6" width="13" customWidth="1"/>
    <col min="7" max="7" width="7.83203125" customWidth="1"/>
    <col min="8" max="8" width="3.33203125" customWidth="1"/>
    <col min="9" max="9" width="13" customWidth="1"/>
    <col min="10" max="12" width="9.33203125" customWidth="1"/>
    <col min="13" max="13" width="11" customWidth="1"/>
    <col min="14" max="14" width="20" customWidth="1"/>
    <col min="15" max="15" width="17.33203125" customWidth="1"/>
    <col min="16" max="16" width="7" customWidth="1"/>
    <col min="17" max="17" width="3.33203125" customWidth="1"/>
    <col min="18" max="18" width="16" customWidth="1"/>
    <col min="19" max="26" width="9.33203125" customWidth="1"/>
    <col min="27" max="27" width="18" customWidth="1"/>
    <col min="28" max="28" width="11.83203125" customWidth="1"/>
    <col min="29" max="29" width="9.33203125" customWidth="1"/>
  </cols>
  <sheetData>
    <row r="1" spans="1:28" ht="12.75" customHeight="1" x14ac:dyDescent="0.25">
      <c r="A1" s="788" t="s">
        <v>0</v>
      </c>
      <c r="B1" s="788"/>
      <c r="C1" s="788"/>
      <c r="D1" s="774" t="s">
        <v>1387</v>
      </c>
      <c r="E1" s="775"/>
      <c r="F1" s="775"/>
      <c r="G1" s="775"/>
      <c r="H1" s="775"/>
      <c r="I1" s="775"/>
      <c r="L1" s="573" t="s">
        <v>1</v>
      </c>
      <c r="M1" s="782" t="s">
        <v>1388</v>
      </c>
      <c r="N1" s="775"/>
      <c r="Q1" s="62" t="s">
        <v>2</v>
      </c>
      <c r="R1" s="544" t="s">
        <v>1389</v>
      </c>
      <c r="AA1" s="549" t="s">
        <v>3</v>
      </c>
      <c r="AB1" s="701">
        <v>45937</v>
      </c>
    </row>
    <row r="2" spans="1:28" ht="12.75" customHeight="1" x14ac:dyDescent="0.2">
      <c r="A2" s="106"/>
      <c r="B2" s="106"/>
      <c r="C2" s="106"/>
      <c r="D2" s="783" t="s">
        <v>4</v>
      </c>
      <c r="E2" s="783"/>
      <c r="F2" s="783"/>
      <c r="G2" s="783"/>
      <c r="H2" s="783"/>
      <c r="I2" s="783"/>
      <c r="L2" s="793"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794"/>
      <c r="N2" s="794"/>
      <c r="O2" s="794"/>
      <c r="P2" s="794"/>
      <c r="Q2" s="794"/>
      <c r="R2" s="794"/>
    </row>
    <row r="3" spans="1:28" ht="12.75" customHeight="1" x14ac:dyDescent="0.25">
      <c r="A3" s="106"/>
      <c r="B3" s="106"/>
      <c r="C3" s="106"/>
      <c r="D3" s="774" t="s">
        <v>20</v>
      </c>
      <c r="E3" s="775"/>
      <c r="F3" s="775"/>
      <c r="G3" s="775"/>
      <c r="H3" s="775"/>
      <c r="I3" s="775"/>
      <c r="L3" s="794"/>
      <c r="M3" s="794"/>
      <c r="N3" s="794"/>
      <c r="O3" s="794"/>
      <c r="P3" s="794"/>
      <c r="Q3" s="794"/>
      <c r="R3" s="794"/>
    </row>
    <row r="4" spans="1:28" ht="12.75" customHeight="1" x14ac:dyDescent="0.2">
      <c r="A4" s="106"/>
      <c r="B4" s="106"/>
      <c r="C4" s="106"/>
      <c r="D4" s="783" t="s">
        <v>5</v>
      </c>
      <c r="E4" s="783"/>
      <c r="F4" s="783"/>
      <c r="G4" s="783"/>
      <c r="H4" s="783"/>
      <c r="I4" s="783"/>
      <c r="L4" s="791" t="str">
        <f>IF(L2="","",CONCATENATE(Alerts!B3,CHAR(10),Alerts!B4,CHAR(10),Alerts!B5,CHAR(10),Alerts!B6,CHAR(10),Alerts!B7,CHAR(10),Alerts!B8,CHAR(10),Alerts!B9,CHAR(10),Alerts!B10,CHAR(10),Alerts!B11,CHAR(10),Alerts!B12,CHAR(10),Alerts!B13,CHAR(10),Alerts!B14,CHAR(10),Alerts!B15,CHAR(10),Alerts!B16))</f>
        <v/>
      </c>
      <c r="M4" s="792"/>
      <c r="N4" s="792"/>
      <c r="O4" s="792"/>
      <c r="P4" s="792"/>
      <c r="Q4" s="792"/>
      <c r="R4" s="792"/>
    </row>
    <row r="5" spans="1:28" ht="12.75" customHeight="1" x14ac:dyDescent="0.2">
      <c r="A5" s="640" t="s">
        <v>724</v>
      </c>
      <c r="B5" s="106"/>
      <c r="C5" s="106"/>
      <c r="L5" s="792"/>
      <c r="M5" s="792"/>
      <c r="N5" s="792"/>
      <c r="O5" s="792"/>
      <c r="P5" s="792"/>
      <c r="Q5" s="792"/>
      <c r="R5" s="792"/>
    </row>
    <row r="6" spans="1:28" ht="17.649999999999999" customHeight="1" x14ac:dyDescent="0.3">
      <c r="A6" s="797"/>
      <c r="B6" s="795" t="s">
        <v>1295</v>
      </c>
      <c r="C6" s="795"/>
      <c r="D6" s="795"/>
      <c r="E6" s="795"/>
      <c r="F6" s="795"/>
      <c r="G6" s="795"/>
      <c r="H6" s="795"/>
      <c r="I6" s="795"/>
      <c r="J6" s="82"/>
      <c r="L6" s="792"/>
      <c r="M6" s="792"/>
      <c r="N6" s="792"/>
      <c r="O6" s="792"/>
      <c r="P6" s="792"/>
      <c r="Q6" s="792"/>
      <c r="R6" s="792"/>
    </row>
    <row r="7" spans="1:28" ht="18" customHeight="1" x14ac:dyDescent="0.3">
      <c r="A7" s="797"/>
      <c r="B7" s="795" t="s">
        <v>6</v>
      </c>
      <c r="C7" s="795"/>
      <c r="D7" s="795"/>
      <c r="E7" s="795"/>
      <c r="F7" s="795"/>
      <c r="G7" s="795"/>
      <c r="H7" s="795"/>
      <c r="I7" s="795"/>
      <c r="J7" s="78"/>
      <c r="L7" s="792"/>
      <c r="M7" s="792"/>
      <c r="N7" s="792"/>
      <c r="O7" s="792"/>
      <c r="P7" s="792"/>
      <c r="Q7" s="792"/>
      <c r="R7" s="792"/>
    </row>
    <row r="8" spans="1:28" ht="18" customHeight="1" x14ac:dyDescent="0.25">
      <c r="A8" s="656"/>
      <c r="B8" s="796" t="s">
        <v>7</v>
      </c>
      <c r="C8" s="796"/>
      <c r="D8" s="796"/>
      <c r="E8" s="796"/>
      <c r="F8" s="796"/>
      <c r="G8" s="796"/>
      <c r="H8" s="796"/>
      <c r="I8" s="796"/>
      <c r="J8" s="82"/>
      <c r="L8" s="792"/>
      <c r="M8" s="792"/>
      <c r="N8" s="792"/>
      <c r="O8" s="792"/>
      <c r="P8" s="792"/>
      <c r="Q8" s="792"/>
      <c r="R8" s="792"/>
    </row>
    <row r="9" spans="1:28" ht="12.75" customHeight="1" x14ac:dyDescent="0.2">
      <c r="C9" s="107"/>
      <c r="D9" s="107"/>
      <c r="E9" s="107"/>
      <c r="F9" s="107"/>
      <c r="G9" s="107"/>
      <c r="H9" s="107"/>
      <c r="I9" s="107"/>
      <c r="J9" s="108"/>
      <c r="L9" s="792"/>
      <c r="M9" s="792"/>
      <c r="N9" s="792"/>
      <c r="O9" s="792"/>
      <c r="P9" s="791"/>
      <c r="Q9" s="792"/>
      <c r="R9" s="792"/>
    </row>
    <row r="10" spans="1:28" ht="26.25" customHeight="1" x14ac:dyDescent="0.25">
      <c r="A10" s="26"/>
      <c r="B10" s="789" t="str">
        <f>IF('Page 2'!N9="","","Checking the box to the left certifies the Charter did not incur any expenses for student support services, as defined in the USFRCS and reported on Page 2, Line 2, during the fiscal year.")</f>
        <v/>
      </c>
      <c r="C10" s="789"/>
      <c r="D10" s="789"/>
      <c r="E10" s="789"/>
      <c r="F10" s="789"/>
      <c r="G10" s="789"/>
      <c r="H10" s="789"/>
      <c r="I10" s="789"/>
      <c r="J10" s="790"/>
      <c r="L10" s="792"/>
      <c r="M10" s="792"/>
      <c r="N10" s="792"/>
      <c r="O10" s="792"/>
      <c r="P10" s="792"/>
      <c r="Q10" s="792"/>
      <c r="R10" s="792"/>
    </row>
    <row r="11" spans="1:28" x14ac:dyDescent="0.2">
      <c r="A11" s="798" t="s">
        <v>1283</v>
      </c>
      <c r="B11" s="798"/>
      <c r="C11" s="798"/>
      <c r="D11" s="799" t="s">
        <v>1386</v>
      </c>
      <c r="E11" s="799"/>
      <c r="F11" s="799"/>
      <c r="G11" s="799"/>
      <c r="H11" s="799"/>
      <c r="I11" s="799"/>
      <c r="J11" s="800"/>
      <c r="L11" s="792"/>
      <c r="M11" s="792"/>
      <c r="N11" s="792"/>
      <c r="O11" s="792"/>
      <c r="P11" s="792"/>
      <c r="Q11" s="792"/>
      <c r="R11" s="792"/>
    </row>
    <row r="12" spans="1:28" ht="25.5" customHeight="1" x14ac:dyDescent="0.25">
      <c r="A12" s="26"/>
      <c r="B12" s="789" t="str">
        <f>IF('Page 2'!N10="","","Checking the box to the left certifies the Charter did not incur any expenses for instructional support services, as defined in the USFRCS and reported on Page 2, Line 3, during the fiscal year.")</f>
        <v/>
      </c>
      <c r="C12" s="789"/>
      <c r="D12" s="789"/>
      <c r="E12" s="789"/>
      <c r="F12" s="789"/>
      <c r="G12" s="789"/>
      <c r="H12" s="789"/>
      <c r="I12" s="789"/>
      <c r="J12" s="790"/>
      <c r="K12" s="66"/>
      <c r="L12" s="792"/>
      <c r="M12" s="792"/>
      <c r="N12" s="792"/>
      <c r="O12" s="792"/>
      <c r="P12" s="792"/>
      <c r="Q12" s="792"/>
      <c r="R12" s="792"/>
    </row>
    <row r="13" spans="1:28" x14ac:dyDescent="0.2">
      <c r="A13" s="109"/>
      <c r="C13" s="107"/>
      <c r="D13" s="107"/>
      <c r="E13" s="107"/>
      <c r="F13" s="107"/>
      <c r="G13" s="107"/>
      <c r="H13" s="107"/>
      <c r="I13" s="107"/>
      <c r="J13" s="108"/>
      <c r="L13" s="792"/>
      <c r="M13" s="792"/>
      <c r="N13" s="792"/>
      <c r="O13" s="792"/>
      <c r="P13" s="792"/>
      <c r="Q13" s="792"/>
      <c r="R13" s="792"/>
    </row>
    <row r="14" spans="1:28" ht="25.5" customHeight="1" x14ac:dyDescent="0.25">
      <c r="A14" s="26"/>
      <c r="B14" s="786" t="str">
        <f>IF('Page 3'!M12="","","Checking the box to the left certifies the Charter did not incur any expenses for Classroom Site Project, as reported on Page 3, during the fiscal year.")</f>
        <v/>
      </c>
      <c r="C14" s="786"/>
      <c r="D14" s="786"/>
      <c r="E14" s="786"/>
      <c r="F14" s="786"/>
      <c r="G14" s="786"/>
      <c r="H14" s="786"/>
      <c r="I14" s="786"/>
      <c r="J14" s="787"/>
      <c r="L14" s="792"/>
      <c r="M14" s="792"/>
      <c r="N14" s="792"/>
      <c r="O14" s="792"/>
      <c r="P14" s="792"/>
      <c r="Q14" s="792"/>
      <c r="R14" s="792"/>
    </row>
    <row r="15" spans="1:28" x14ac:dyDescent="0.2">
      <c r="A15" s="109"/>
      <c r="C15" s="107"/>
      <c r="D15" s="107"/>
      <c r="E15" s="107"/>
      <c r="F15" s="107"/>
      <c r="G15" s="107"/>
      <c r="H15" s="107"/>
      <c r="I15" s="107"/>
      <c r="J15" s="108"/>
      <c r="L15" s="792"/>
      <c r="M15" s="792"/>
      <c r="N15" s="792"/>
      <c r="O15" s="792"/>
      <c r="P15" s="792"/>
      <c r="Q15" s="792"/>
      <c r="R15" s="792"/>
    </row>
    <row r="16" spans="1:28" ht="39.75" customHeight="1" x14ac:dyDescent="0.25">
      <c r="A16" s="26"/>
      <c r="B16" s="789" t="str">
        <f>IF('Page 6'!H33="","","Checking the box to the left certifies the Charter did not incur any current expenses for student support services, as defined in the USFRCS and reported on Page 6-Section E-Line 4, during the fiscal year.")</f>
        <v/>
      </c>
      <c r="C16" s="789"/>
      <c r="D16" s="789"/>
      <c r="E16" s="789"/>
      <c r="F16" s="789"/>
      <c r="G16" s="789"/>
      <c r="H16" s="789"/>
      <c r="I16" s="789"/>
      <c r="J16" s="790"/>
      <c r="L16" s="792"/>
      <c r="M16" s="792"/>
      <c r="N16" s="792"/>
      <c r="O16" s="792"/>
      <c r="P16" s="792"/>
      <c r="Q16" s="792"/>
      <c r="R16" s="792"/>
    </row>
    <row r="17" spans="1:26" x14ac:dyDescent="0.2">
      <c r="A17" s="109"/>
      <c r="C17" s="107"/>
      <c r="D17" s="107"/>
      <c r="E17" s="107"/>
      <c r="F17" s="107"/>
      <c r="G17" s="107"/>
      <c r="H17" s="107"/>
      <c r="I17" s="107"/>
      <c r="J17" s="108"/>
      <c r="L17" s="792"/>
      <c r="M17" s="792"/>
      <c r="N17" s="792"/>
      <c r="O17" s="792"/>
      <c r="P17" s="792"/>
      <c r="Q17" s="792"/>
      <c r="R17" s="792"/>
    </row>
    <row r="18" spans="1:26" ht="48" customHeight="1" x14ac:dyDescent="0.25">
      <c r="A18" s="26"/>
      <c r="B18" s="789" t="str">
        <f>IF('Page 4'!K10="","","Checking the box to the left certifies the Charter did not incur any expenses for Instructional Improvement Project, as defined in the USFRCS and reported on Page 4, Line 5, during the fiscal year.")</f>
        <v/>
      </c>
      <c r="C18" s="789"/>
      <c r="D18" s="789"/>
      <c r="E18" s="789"/>
      <c r="F18" s="789"/>
      <c r="G18" s="789"/>
      <c r="H18" s="789"/>
      <c r="I18" s="789"/>
      <c r="J18" s="790"/>
      <c r="L18" s="792"/>
      <c r="M18" s="792"/>
      <c r="N18" s="792"/>
      <c r="O18" s="792"/>
      <c r="P18" s="792"/>
      <c r="Q18" s="792"/>
      <c r="R18" s="792"/>
      <c r="S18" s="4"/>
      <c r="T18" s="4"/>
    </row>
    <row r="19" spans="1:26" ht="12.75" customHeight="1" x14ac:dyDescent="0.2">
      <c r="B19" s="784" t="s">
        <v>1296</v>
      </c>
      <c r="C19" s="784"/>
      <c r="D19" s="784"/>
      <c r="E19" s="784"/>
      <c r="F19" s="784"/>
      <c r="G19" s="784"/>
      <c r="H19" s="784"/>
      <c r="I19" s="784"/>
      <c r="J19" s="82"/>
      <c r="L19" s="778" t="s">
        <v>1297</v>
      </c>
      <c r="M19" s="778"/>
      <c r="N19" s="778"/>
      <c r="O19" s="778"/>
      <c r="P19" s="778"/>
      <c r="Q19" s="778"/>
      <c r="R19" s="778"/>
      <c r="S19" s="4"/>
      <c r="T19" s="4"/>
    </row>
    <row r="20" spans="1:26" ht="25.5" customHeight="1" thickBot="1" x14ac:dyDescent="0.3">
      <c r="B20" s="784"/>
      <c r="C20" s="784"/>
      <c r="D20" s="784"/>
      <c r="E20" s="784"/>
      <c r="F20" s="784"/>
      <c r="G20" s="784"/>
      <c r="H20" s="784"/>
      <c r="I20" s="784"/>
      <c r="J20" s="82"/>
      <c r="L20" t="s">
        <v>8</v>
      </c>
      <c r="N20" s="769">
        <v>45945</v>
      </c>
      <c r="O20" s="780" t="s">
        <v>9</v>
      </c>
      <c r="P20" s="780"/>
      <c r="Q20" s="780"/>
      <c r="R20" s="780"/>
      <c r="T20" s="771" t="str">
        <f>IF(Z20="X","","Charters schools must review the FY 2025 AFR Formula Corrections file and make any required formula corrections before finalizing and submitting the AFR. Select the X in the dropdown box in cell Z20 once this step is complete.")</f>
        <v/>
      </c>
      <c r="U20" s="771"/>
      <c r="V20" s="771"/>
      <c r="W20" s="771"/>
      <c r="X20" s="771"/>
      <c r="Z20" s="693" t="s">
        <v>1391</v>
      </c>
    </row>
    <row r="21" spans="1:26" ht="12.75" customHeight="1" x14ac:dyDescent="0.2">
      <c r="A21" s="779"/>
      <c r="B21" s="779"/>
      <c r="C21" s="779"/>
      <c r="D21" s="779"/>
      <c r="E21" s="779"/>
      <c r="F21" s="4"/>
      <c r="G21" s="785"/>
      <c r="H21" s="785"/>
      <c r="I21" s="785"/>
      <c r="J21" s="82"/>
      <c r="L21" s="779" t="s">
        <v>10</v>
      </c>
      <c r="M21" s="779"/>
      <c r="N21" s="779"/>
      <c r="O21" s="110"/>
      <c r="P21" s="110"/>
      <c r="Q21" s="110"/>
      <c r="R21" s="110"/>
      <c r="T21" s="771"/>
      <c r="U21" s="771"/>
      <c r="V21" s="771"/>
      <c r="W21" s="771"/>
      <c r="X21" s="771"/>
    </row>
    <row r="22" spans="1:26" ht="13.5" customHeight="1" x14ac:dyDescent="0.25">
      <c r="A22" s="772"/>
      <c r="B22" s="772"/>
      <c r="C22" s="772"/>
      <c r="D22" s="772"/>
      <c r="E22" s="772"/>
      <c r="F22" s="4"/>
      <c r="G22" s="782" t="s">
        <v>20</v>
      </c>
      <c r="H22" s="775"/>
      <c r="I22" s="775"/>
      <c r="J22" s="82"/>
      <c r="M22" s="110"/>
      <c r="N22" s="110"/>
      <c r="O22" s="110"/>
      <c r="P22" s="110"/>
      <c r="Q22" s="110"/>
      <c r="R22" s="110"/>
      <c r="T22" s="771"/>
      <c r="U22" s="771"/>
      <c r="V22" s="771"/>
      <c r="W22" s="771"/>
      <c r="X22" s="771"/>
    </row>
    <row r="23" spans="1:26" ht="12.75" customHeight="1" x14ac:dyDescent="0.25">
      <c r="H23" s="4"/>
      <c r="I23" s="4"/>
      <c r="J23" s="78"/>
      <c r="L23" s="772"/>
      <c r="M23" s="772"/>
      <c r="N23" s="772"/>
      <c r="P23" s="774" t="s">
        <v>20</v>
      </c>
      <c r="Q23" s="775"/>
      <c r="R23" s="775"/>
      <c r="T23" s="771"/>
      <c r="U23" s="771"/>
      <c r="V23" s="771"/>
      <c r="W23" s="771"/>
      <c r="X23" s="771"/>
    </row>
    <row r="24" spans="1:26" ht="14.25" customHeight="1" x14ac:dyDescent="0.25">
      <c r="A24" s="772"/>
      <c r="B24" s="772"/>
      <c r="C24" s="772"/>
      <c r="D24" s="772"/>
      <c r="E24" s="772"/>
      <c r="F24" s="4"/>
      <c r="G24" s="782" t="s">
        <v>20</v>
      </c>
      <c r="H24" s="775"/>
      <c r="I24" s="775"/>
      <c r="J24" s="78"/>
      <c r="L24" s="773" t="s">
        <v>11</v>
      </c>
      <c r="M24" s="773"/>
      <c r="N24" s="773"/>
      <c r="P24" s="773" t="s">
        <v>12</v>
      </c>
      <c r="Q24" s="773"/>
      <c r="R24" s="773"/>
    </row>
    <row r="25" spans="1:26" ht="12.75" customHeight="1" x14ac:dyDescent="0.25">
      <c r="J25" s="78"/>
      <c r="L25" s="774" t="s">
        <v>1390</v>
      </c>
      <c r="M25" s="781"/>
      <c r="N25" s="781"/>
    </row>
    <row r="26" spans="1:26" ht="14.25" customHeight="1" x14ac:dyDescent="0.25">
      <c r="A26" s="772"/>
      <c r="B26" s="772"/>
      <c r="C26" s="772"/>
      <c r="D26" s="772"/>
      <c r="E26" s="772"/>
      <c r="F26" s="4"/>
      <c r="G26" s="782" t="s">
        <v>20</v>
      </c>
      <c r="H26" s="775"/>
      <c r="I26" s="775"/>
      <c r="J26" s="78"/>
      <c r="L26" s="773" t="s">
        <v>13</v>
      </c>
      <c r="M26" s="773"/>
      <c r="N26" s="773"/>
    </row>
    <row r="27" spans="1:26" ht="12.75" customHeight="1" x14ac:dyDescent="0.2">
      <c r="J27" s="78"/>
      <c r="L27" s="779"/>
      <c r="M27" s="779"/>
      <c r="N27" s="779"/>
      <c r="O27" s="111"/>
      <c r="P27" s="776"/>
      <c r="Q27" s="776"/>
      <c r="R27" s="776"/>
    </row>
    <row r="28" spans="1:26" ht="12.75" customHeight="1" x14ac:dyDescent="0.25">
      <c r="A28" s="772"/>
      <c r="B28" s="772"/>
      <c r="C28" s="772"/>
      <c r="D28" s="772"/>
      <c r="E28" s="772"/>
      <c r="F28" s="4"/>
      <c r="G28" s="782" t="s">
        <v>20</v>
      </c>
      <c r="H28" s="775"/>
      <c r="I28" s="775"/>
      <c r="J28" s="78"/>
      <c r="L28" s="772"/>
      <c r="M28" s="772"/>
      <c r="N28" s="772"/>
      <c r="P28" s="774" t="s">
        <v>20</v>
      </c>
      <c r="Q28" s="775"/>
      <c r="R28" s="775"/>
    </row>
    <row r="29" spans="1:26" ht="14.25" customHeight="1" x14ac:dyDescent="0.2">
      <c r="D29" s="4"/>
      <c r="E29" s="4"/>
      <c r="F29" s="4"/>
      <c r="G29" s="4"/>
      <c r="J29" s="78"/>
      <c r="L29" s="773" t="s">
        <v>11</v>
      </c>
      <c r="M29" s="773"/>
      <c r="N29" s="773"/>
      <c r="P29" s="773" t="s">
        <v>12</v>
      </c>
      <c r="Q29" s="773"/>
      <c r="R29" s="773"/>
    </row>
    <row r="30" spans="1:26" ht="12.75" customHeight="1" x14ac:dyDescent="0.25">
      <c r="A30" s="772"/>
      <c r="B30" s="772"/>
      <c r="C30" s="772"/>
      <c r="D30" s="772"/>
      <c r="E30" s="772"/>
      <c r="F30" s="4"/>
      <c r="G30" s="782" t="s">
        <v>20</v>
      </c>
      <c r="H30" s="775"/>
      <c r="I30" s="775"/>
      <c r="K30" s="89"/>
      <c r="L30" s="774" t="s">
        <v>20</v>
      </c>
      <c r="M30" s="781"/>
      <c r="N30" s="781"/>
    </row>
    <row r="31" spans="1:26" ht="30.75" customHeight="1" x14ac:dyDescent="0.25">
      <c r="A31" s="772"/>
      <c r="B31" s="772"/>
      <c r="C31" s="772"/>
      <c r="D31" s="772"/>
      <c r="E31" s="772"/>
      <c r="F31" s="4"/>
      <c r="G31" s="782" t="s">
        <v>20</v>
      </c>
      <c r="H31" s="775"/>
      <c r="I31" s="775"/>
      <c r="J31" s="78"/>
      <c r="K31" s="89"/>
      <c r="L31" s="773" t="s">
        <v>13</v>
      </c>
      <c r="M31" s="773"/>
      <c r="N31" s="773"/>
    </row>
    <row r="32" spans="1:26" ht="12.75" customHeight="1" x14ac:dyDescent="0.2">
      <c r="J32" s="78"/>
      <c r="K32" s="71"/>
      <c r="L32" s="72" t="s">
        <v>14</v>
      </c>
      <c r="M32" s="72"/>
      <c r="N32" s="72"/>
      <c r="O32" s="72"/>
      <c r="P32" s="72"/>
      <c r="Q32" s="72"/>
      <c r="R32" s="72"/>
    </row>
    <row r="33" spans="1:18" ht="12.75" customHeight="1" x14ac:dyDescent="0.25">
      <c r="A33" s="772"/>
      <c r="B33" s="772"/>
      <c r="C33" s="772"/>
      <c r="D33" s="772"/>
      <c r="E33" s="772"/>
      <c r="F33" s="4"/>
      <c r="G33" s="774" t="s">
        <v>20</v>
      </c>
      <c r="H33" s="775"/>
      <c r="I33" s="775"/>
      <c r="J33" s="78"/>
      <c r="L33" t="s">
        <v>15</v>
      </c>
      <c r="P33" s="7" t="s">
        <v>16</v>
      </c>
      <c r="Q33" s="777">
        <f>TotExpSchoolwide</f>
        <v>29391561</v>
      </c>
      <c r="R33" s="777"/>
    </row>
    <row r="34" spans="1:18" ht="12.75" customHeight="1" x14ac:dyDescent="0.2">
      <c r="A34" s="783" t="s">
        <v>17</v>
      </c>
      <c r="B34" s="783"/>
      <c r="C34" s="783"/>
      <c r="D34" s="783"/>
      <c r="E34" s="783"/>
      <c r="F34" s="4"/>
      <c r="G34" s="783" t="s">
        <v>18</v>
      </c>
      <c r="H34" s="783"/>
      <c r="I34" s="783"/>
      <c r="J34" s="78"/>
      <c r="L34" t="s">
        <v>19</v>
      </c>
      <c r="P34" s="7" t="s">
        <v>16</v>
      </c>
      <c r="Q34" s="777">
        <f>SP1000ClassSiteProj</f>
        <v>2714030</v>
      </c>
      <c r="R34" s="777"/>
    </row>
    <row r="35" spans="1:18" ht="12.75" customHeight="1" x14ac:dyDescent="0.2">
      <c r="J35" s="78"/>
    </row>
  </sheetData>
  <sheetProtection sheet="1" formatCells="0" formatColumns="0" formatRows="0"/>
  <mergeCells count="58">
    <mergeCell ref="A24:E24"/>
    <mergeCell ref="A28:E28"/>
    <mergeCell ref="A30:E30"/>
    <mergeCell ref="A31:E31"/>
    <mergeCell ref="A34:E34"/>
    <mergeCell ref="A33:E33"/>
    <mergeCell ref="G34:I34"/>
    <mergeCell ref="G24:I24"/>
    <mergeCell ref="G26:I26"/>
    <mergeCell ref="G28:I28"/>
    <mergeCell ref="G30:I30"/>
    <mergeCell ref="G31:I31"/>
    <mergeCell ref="G33:I33"/>
    <mergeCell ref="L4:R18"/>
    <mergeCell ref="L2:R3"/>
    <mergeCell ref="B6:I6"/>
    <mergeCell ref="B8:I8"/>
    <mergeCell ref="A21:E21"/>
    <mergeCell ref="B7:I7"/>
    <mergeCell ref="B10:J10"/>
    <mergeCell ref="B16:J16"/>
    <mergeCell ref="A6:A7"/>
    <mergeCell ref="A11:C11"/>
    <mergeCell ref="D11:J11"/>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Q34:R34"/>
    <mergeCell ref="L31:N31"/>
    <mergeCell ref="L19:R19"/>
    <mergeCell ref="L21:N21"/>
    <mergeCell ref="O20:R20"/>
    <mergeCell ref="Q33:R33"/>
    <mergeCell ref="P29:R29"/>
    <mergeCell ref="P28:R28"/>
    <mergeCell ref="L25:N25"/>
    <mergeCell ref="L30:N30"/>
    <mergeCell ref="T20:X23"/>
    <mergeCell ref="L28:N28"/>
    <mergeCell ref="L29:N29"/>
    <mergeCell ref="L26:N26"/>
    <mergeCell ref="P23:R23"/>
    <mergeCell ref="P24:R24"/>
    <mergeCell ref="P27:R27"/>
    <mergeCell ref="L23:N23"/>
  </mergeCells>
  <conditionalFormatting sqref="A16:B16">
    <cfRule type="expression" priority="23" stopIfTrue="1">
      <formula>$A$16="X"</formula>
    </cfRule>
  </conditionalFormatting>
  <conditionalFormatting sqref="B10">
    <cfRule type="expression" dxfId="88"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87" priority="6" stopIfTrue="1">
      <formula>D1=""</formula>
    </cfRule>
  </conditionalFormatting>
  <conditionalFormatting sqref="D3:I3">
    <cfRule type="expression" dxfId="86" priority="4" stopIfTrue="1">
      <formula>$D$3=""</formula>
    </cfRule>
  </conditionalFormatting>
  <conditionalFormatting sqref="G22 G24 G26 G28 G30:G31 G33">
    <cfRule type="expression" dxfId="85" priority="5" stopIfTrue="1">
      <formula>$G22=""</formula>
    </cfRule>
  </conditionalFormatting>
  <conditionalFormatting sqref="L2:R3">
    <cfRule type="expression" dxfId="84" priority="15" stopIfTrue="1">
      <formula>$L$4&lt;&gt;""</formula>
    </cfRule>
  </conditionalFormatting>
  <conditionalFormatting sqref="N20 P23 L25 P28 L30">
    <cfRule type="expression" dxfId="83" priority="3" stopIfTrue="1">
      <formula>L20=""</formula>
    </cfRule>
  </conditionalFormatting>
  <conditionalFormatting sqref="T20">
    <cfRule type="expression" dxfId="82"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formula1>9</formula1>
    </dataValidation>
    <dataValidation type="date" operator="greaterThanOrEqual" allowBlank="1" showInputMessage="1" showErrorMessage="1" errorTitle="Date" error="Enter Valid Date_x000a_MM/DD/YYYY" promptTitle="Enter Date as" prompt="MM/DD/YYYY" sqref="N20">
      <formula1>42962</formula1>
    </dataValidation>
    <dataValidation type="list" allowBlank="1" showInputMessage="1" showErrorMessage="1" sqref="A14 A16 A12 A10 A18 Z20">
      <formula1>"X"</formula1>
    </dataValidation>
  </dataValidations>
  <hyperlinks>
    <hyperlink ref="A5" location="Instructions!A1" display="Instructions"/>
    <hyperlink ref="A11:C11" location="websitelink" display="Charter website link of posted AFR"/>
  </hyperlinks>
  <pageMargins left="0.7" right="0.7" top="0.75" bottom="0.75" header="0.3" footer="0.3"/>
  <pageSetup paperSize="5" scale="86" orientation="landscape" r:id="rId1"/>
  <headerFooter>
    <oddFooter>&amp;LRev. 8/25 Arizona Department of Education and Auditor General&amp;CFY 2025
No assurance provided.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64"/>
  <sheetViews>
    <sheetView showGridLines="0" workbookViewId="0">
      <selection activeCell="Q34" sqref="Q33:R34"/>
    </sheetView>
  </sheetViews>
  <sheetFormatPr defaultColWidth="9.33203125" defaultRowHeight="12.75" customHeight="1" x14ac:dyDescent="0.2"/>
  <cols>
    <col min="1" max="1" width="19.83203125" style="154" customWidth="1"/>
    <col min="2" max="2" width="42.83203125" style="154" customWidth="1"/>
    <col min="3" max="3" width="3" style="154" customWidth="1"/>
    <col min="4" max="6" width="16.83203125" style="154" customWidth="1"/>
    <col min="7" max="7" width="18.6640625" style="154" customWidth="1"/>
    <col min="8" max="10" width="17.83203125" style="157" customWidth="1"/>
    <col min="11" max="11" width="16.83203125" style="157" customWidth="1"/>
    <col min="12" max="12" width="3" style="154" customWidth="1"/>
    <col min="13" max="13" width="10.83203125" style="154" customWidth="1"/>
    <col min="14" max="14" width="9.33203125" style="154" customWidth="1"/>
    <col min="15" max="15" width="2.33203125" style="154" customWidth="1"/>
    <col min="16" max="16" width="9.33203125" style="154" customWidth="1"/>
    <col min="17" max="25" width="9.33203125" style="154" hidden="1" customWidth="1"/>
    <col min="26" max="29" width="9.33203125" style="154" customWidth="1"/>
    <col min="30" max="16384" width="9.33203125" style="154"/>
  </cols>
  <sheetData>
    <row r="1" spans="1:27" ht="12" customHeight="1" x14ac:dyDescent="0.2">
      <c r="A1" s="3" t="s">
        <v>0</v>
      </c>
      <c r="B1" s="1" t="str">
        <f>'Cover Page'!D1</f>
        <v>Eduprize Schools LLC</v>
      </c>
      <c r="C1" s="4"/>
      <c r="D1"/>
      <c r="E1" s="62" t="s">
        <v>1</v>
      </c>
      <c r="F1" s="806" t="str">
        <f>'Cover Page'!M1</f>
        <v>Pinal</v>
      </c>
      <c r="G1" s="806"/>
      <c r="H1"/>
      <c r="I1" s="62"/>
      <c r="J1" s="62" t="s">
        <v>2</v>
      </c>
      <c r="K1" s="2" t="str">
        <f>'Cover Page'!R1</f>
        <v>078687000</v>
      </c>
      <c r="L1" s="260"/>
      <c r="M1" s="4"/>
      <c r="N1" s="580"/>
      <c r="O1" s="580"/>
    </row>
    <row r="2" spans="1:27" ht="12" customHeight="1" x14ac:dyDescent="0.2">
      <c r="A2" s="62"/>
      <c r="B2" s="62"/>
      <c r="C2" s="3"/>
      <c r="D2" s="4"/>
      <c r="E2"/>
      <c r="F2"/>
      <c r="G2"/>
      <c r="H2" s="62"/>
      <c r="I2" s="4"/>
      <c r="J2" s="4"/>
      <c r="K2" s="4"/>
      <c r="L2"/>
      <c r="M2" s="4"/>
      <c r="N2" s="580"/>
      <c r="O2" s="580"/>
    </row>
    <row r="3" spans="1:27" ht="12" customHeight="1" x14ac:dyDescent="0.2">
      <c r="A3" s="261"/>
      <c r="B3" s="261"/>
      <c r="C3" s="261"/>
      <c r="D3" s="261"/>
      <c r="E3" s="261"/>
      <c r="F3" s="261"/>
      <c r="G3" s="261"/>
      <c r="H3" s="261"/>
      <c r="I3" s="261"/>
      <c r="J3" s="261"/>
      <c r="K3" s="261"/>
      <c r="L3" s="261"/>
      <c r="M3" s="261"/>
    </row>
    <row r="4" spans="1:27" ht="12" customHeight="1" x14ac:dyDescent="0.2">
      <c r="A4" s="261"/>
      <c r="B4" s="261"/>
      <c r="C4" s="888" t="s">
        <v>350</v>
      </c>
      <c r="D4" s="888"/>
      <c r="E4" s="888"/>
      <c r="F4" s="888"/>
      <c r="G4" s="888"/>
      <c r="H4" s="888"/>
      <c r="I4" s="888"/>
      <c r="J4" s="888"/>
      <c r="K4" s="888"/>
      <c r="L4" s="888"/>
      <c r="M4" s="261"/>
    </row>
    <row r="5" spans="1:27" ht="12" customHeight="1" x14ac:dyDescent="0.2">
      <c r="B5" s="657" t="s">
        <v>724</v>
      </c>
    </row>
    <row r="6" spans="1:27" ht="12" customHeight="1" x14ac:dyDescent="0.2">
      <c r="A6" s="262"/>
      <c r="B6" s="262"/>
      <c r="D6" s="889" t="s">
        <v>351</v>
      </c>
      <c r="E6" s="889"/>
      <c r="F6" s="889"/>
      <c r="G6" s="889"/>
      <c r="H6" s="889"/>
      <c r="I6" s="889"/>
      <c r="J6" s="889"/>
      <c r="K6" s="889"/>
      <c r="L6" s="263"/>
      <c r="M6" s="157"/>
      <c r="N6" s="157"/>
      <c r="V6" s="264"/>
    </row>
    <row r="7" spans="1:27" ht="12" customHeight="1" x14ac:dyDescent="0.2">
      <c r="D7" s="265"/>
      <c r="E7" s="266"/>
      <c r="F7" s="266" t="s">
        <v>150</v>
      </c>
      <c r="G7" s="266"/>
      <c r="H7" s="266"/>
      <c r="I7" s="267"/>
      <c r="J7" s="267" t="s">
        <v>94</v>
      </c>
      <c r="K7" s="268"/>
      <c r="L7" s="269"/>
      <c r="M7" s="157"/>
      <c r="N7" s="157"/>
      <c r="T7" s="264"/>
      <c r="V7" s="264"/>
    </row>
    <row r="8" spans="1:27" ht="12" customHeight="1" x14ac:dyDescent="0.2">
      <c r="D8" s="270"/>
      <c r="E8" s="271" t="s">
        <v>85</v>
      </c>
      <c r="F8" s="271" t="s">
        <v>92</v>
      </c>
      <c r="G8" s="271"/>
      <c r="H8" s="272" t="s">
        <v>352</v>
      </c>
      <c r="I8" s="272"/>
      <c r="J8" s="272" t="s">
        <v>353</v>
      </c>
      <c r="K8" s="268"/>
      <c r="L8" s="273"/>
      <c r="N8" s="157"/>
      <c r="U8" s="264"/>
    </row>
    <row r="9" spans="1:27" ht="12" customHeight="1" x14ac:dyDescent="0.2">
      <c r="D9" s="271" t="s">
        <v>90</v>
      </c>
      <c r="E9" s="274" t="s">
        <v>91</v>
      </c>
      <c r="F9" s="274" t="s">
        <v>354</v>
      </c>
      <c r="G9" s="274" t="s">
        <v>93</v>
      </c>
      <c r="H9" s="272" t="s">
        <v>355</v>
      </c>
      <c r="I9" s="275" t="s">
        <v>356</v>
      </c>
      <c r="J9" s="275" t="s">
        <v>357</v>
      </c>
      <c r="K9" s="276" t="s">
        <v>358</v>
      </c>
      <c r="L9" s="273"/>
      <c r="N9" s="157"/>
      <c r="U9" s="264"/>
      <c r="AA9" s="264"/>
    </row>
    <row r="10" spans="1:27" ht="12" customHeight="1" x14ac:dyDescent="0.2">
      <c r="A10" s="277" t="s">
        <v>359</v>
      </c>
      <c r="B10" s="277"/>
      <c r="D10" s="274">
        <v>6100</v>
      </c>
      <c r="E10" s="274">
        <v>6200</v>
      </c>
      <c r="F10" s="274">
        <v>6500</v>
      </c>
      <c r="G10" s="274">
        <v>6600</v>
      </c>
      <c r="H10" s="274">
        <v>6810</v>
      </c>
      <c r="I10" s="275">
        <v>6890</v>
      </c>
      <c r="J10" s="275" t="s">
        <v>360</v>
      </c>
      <c r="K10" s="278" t="s">
        <v>361</v>
      </c>
      <c r="L10" s="273"/>
      <c r="N10" s="157"/>
      <c r="S10" s="264"/>
      <c r="AA10" s="157"/>
    </row>
    <row r="11" spans="1:27" ht="12" customHeight="1" x14ac:dyDescent="0.2">
      <c r="A11" s="577" t="s">
        <v>197</v>
      </c>
      <c r="B11" s="577"/>
      <c r="C11" s="279" t="s">
        <v>24</v>
      </c>
      <c r="D11" s="552">
        <f>Calculations!E8</f>
        <v>14310168</v>
      </c>
      <c r="E11" s="552">
        <f>Calculations!E113</f>
        <v>3286082</v>
      </c>
      <c r="F11" s="552">
        <f>Calculations!E238</f>
        <v>259203</v>
      </c>
      <c r="G11" s="552">
        <f>Calculations!E636</f>
        <v>778230</v>
      </c>
      <c r="H11" s="552">
        <f>Calculations!E951</f>
        <v>547</v>
      </c>
      <c r="I11" s="552">
        <f>Calculations!E1116</f>
        <v>326602</v>
      </c>
      <c r="J11" s="552">
        <f>Calculations!E1454-H11-I11</f>
        <v>0</v>
      </c>
      <c r="K11" s="545">
        <v>0</v>
      </c>
      <c r="L11" s="280" t="s">
        <v>24</v>
      </c>
      <c r="N11" s="157"/>
      <c r="S11" s="264"/>
      <c r="AA11" s="281" t="str">
        <f>IF(OR(K11="",K14="",K13="",K15="",K16="",K17="",K18="",K19="",K21="",K22="",K24="",K25="",K26=""),"yes","")</f>
        <v/>
      </c>
    </row>
    <row r="12" spans="1:27" ht="12" customHeight="1" x14ac:dyDescent="0.2">
      <c r="A12" s="154" t="s">
        <v>198</v>
      </c>
      <c r="C12" s="279"/>
      <c r="D12" s="282"/>
      <c r="E12" s="282"/>
      <c r="F12" s="282"/>
      <c r="G12" s="282"/>
      <c r="H12" s="282"/>
      <c r="I12" s="282"/>
      <c r="J12" s="282"/>
      <c r="K12" s="88"/>
      <c r="L12" s="280"/>
      <c r="N12" s="157"/>
      <c r="S12" s="264"/>
      <c r="AA12" s="281" t="str">
        <f>IF(OR(E33="",E34="",E35="",E36="",E40="",E41="",E42="",E43="",E44="",E49="",E53="",E54="",E55="",E56=""),"yes","")</f>
        <v/>
      </c>
    </row>
    <row r="13" spans="1:27" ht="12" customHeight="1" x14ac:dyDescent="0.2">
      <c r="A13" s="577" t="s">
        <v>362</v>
      </c>
      <c r="B13" s="577"/>
      <c r="C13" s="279" t="s">
        <v>26</v>
      </c>
      <c r="D13" s="557">
        <f>Calculations!E15</f>
        <v>1641008</v>
      </c>
      <c r="E13" s="557">
        <f>Calculations!E120</f>
        <v>380331</v>
      </c>
      <c r="F13" s="557">
        <f>Calculations!E265</f>
        <v>718441</v>
      </c>
      <c r="G13" s="557">
        <f>Calculations!E643</f>
        <v>7186</v>
      </c>
      <c r="H13" s="557">
        <f>Calculations!E958</f>
        <v>0</v>
      </c>
      <c r="I13" s="557">
        <f>Calculations!E1123</f>
        <v>0</v>
      </c>
      <c r="J13" s="557">
        <f>Calculations!E1459-H13-I13</f>
        <v>0</v>
      </c>
      <c r="K13" s="53">
        <v>0</v>
      </c>
      <c r="L13" s="280" t="s">
        <v>26</v>
      </c>
      <c r="W13" s="264"/>
      <c r="AA13" s="281" t="str">
        <f>IF(OR(K30="",K31="",K32="",K36="",K37="",K38="",K41="",K42="",K46="",K47="",K51="",K52="",K53="",K54="",K55="",K56="",K59="",K60=""),"yes","")</f>
        <v/>
      </c>
    </row>
    <row r="14" spans="1:27" ht="12" customHeight="1" x14ac:dyDescent="0.2">
      <c r="A14" s="577" t="s">
        <v>363</v>
      </c>
      <c r="B14" s="577"/>
      <c r="C14" s="279" t="s">
        <v>28</v>
      </c>
      <c r="D14" s="552">
        <f>Calculations!E22</f>
        <v>602496</v>
      </c>
      <c r="E14" s="552">
        <f>Calculations!E127</f>
        <v>120732</v>
      </c>
      <c r="F14" s="552">
        <f>Calculations!E292</f>
        <v>17216</v>
      </c>
      <c r="G14" s="552">
        <f>Calculations!E650</f>
        <v>206932</v>
      </c>
      <c r="H14" s="552">
        <f>Calculations!E965</f>
        <v>0</v>
      </c>
      <c r="I14" s="552">
        <f>Calculations!E1130</f>
        <v>0</v>
      </c>
      <c r="J14" s="552">
        <f>Calculations!E1464-H14-I14</f>
        <v>0</v>
      </c>
      <c r="K14" s="53">
        <v>0</v>
      </c>
      <c r="L14" s="283" t="s">
        <v>28</v>
      </c>
      <c r="N14" s="157"/>
      <c r="W14" s="264"/>
      <c r="AA14" s="281" t="str">
        <f>IF(AND(AA11="",AA12="",AA13=""),"","yes")</f>
        <v/>
      </c>
    </row>
    <row r="15" spans="1:27" ht="12" customHeight="1" x14ac:dyDescent="0.2">
      <c r="A15" s="577" t="s">
        <v>364</v>
      </c>
      <c r="B15" s="577"/>
      <c r="C15" s="279" t="s">
        <v>31</v>
      </c>
      <c r="D15" s="552">
        <f>Calculations!E29</f>
        <v>0</v>
      </c>
      <c r="E15" s="552">
        <f>Calculations!E134</f>
        <v>0</v>
      </c>
      <c r="F15" s="552">
        <f>Calculations!E319</f>
        <v>0</v>
      </c>
      <c r="G15" s="552">
        <f>Calculations!E657</f>
        <v>0</v>
      </c>
      <c r="H15" s="552">
        <f>Calculations!E972</f>
        <v>0</v>
      </c>
      <c r="I15" s="552">
        <f>Calculations!E1137</f>
        <v>0</v>
      </c>
      <c r="J15" s="552">
        <f>Calculations!E1469-H15-I15</f>
        <v>0</v>
      </c>
      <c r="K15" s="52">
        <v>0</v>
      </c>
      <c r="L15" s="283" t="s">
        <v>31</v>
      </c>
    </row>
    <row r="16" spans="1:27" ht="12" customHeight="1" x14ac:dyDescent="0.2">
      <c r="A16" s="284" t="s">
        <v>365</v>
      </c>
      <c r="B16" s="284"/>
      <c r="C16" s="285" t="s">
        <v>33</v>
      </c>
      <c r="D16" s="552">
        <f>Calculations!E36</f>
        <v>989780</v>
      </c>
      <c r="E16" s="552">
        <f>Calculations!E141</f>
        <v>223766</v>
      </c>
      <c r="F16" s="552">
        <f>Calculations!E346</f>
        <v>39031</v>
      </c>
      <c r="G16" s="552">
        <f>Calculations!E664</f>
        <v>18577</v>
      </c>
      <c r="H16" s="552">
        <f>Calculations!E979</f>
        <v>16012</v>
      </c>
      <c r="I16" s="552">
        <f>Calculations!E1144</f>
        <v>340</v>
      </c>
      <c r="J16" s="552">
        <f>Calculations!E1474-H16-I16</f>
        <v>0</v>
      </c>
      <c r="K16" s="52">
        <v>0</v>
      </c>
      <c r="L16" s="286" t="s">
        <v>33</v>
      </c>
    </row>
    <row r="17" spans="1:12" ht="12" customHeight="1" x14ac:dyDescent="0.2">
      <c r="A17" s="287" t="s">
        <v>366</v>
      </c>
      <c r="B17" s="287"/>
      <c r="C17" s="285" t="s">
        <v>35</v>
      </c>
      <c r="D17" s="552">
        <f>Calculations!E43+Calculations!E50</f>
        <v>175534</v>
      </c>
      <c r="E17" s="552">
        <f>Calculations!E148+Calculations!E155</f>
        <v>40027</v>
      </c>
      <c r="F17" s="552">
        <f>Calculations!E373+Calculations!E400</f>
        <v>1245937</v>
      </c>
      <c r="G17" s="552">
        <f>Calculations!E671+Calculations!E678</f>
        <v>5457</v>
      </c>
      <c r="H17" s="552">
        <f>Calculations!E986+Calculations!E993</f>
        <v>14950</v>
      </c>
      <c r="I17" s="552">
        <f>Calculations!E1151+Calculations!E1158</f>
        <v>0</v>
      </c>
      <c r="J17" s="552">
        <f>Calculations!E1479+Calculations!E1484-Calculations!E1082-H17-I17</f>
        <v>0</v>
      </c>
      <c r="K17" s="52">
        <v>0</v>
      </c>
      <c r="L17" s="286" t="s">
        <v>35</v>
      </c>
    </row>
    <row r="18" spans="1:12" ht="12" customHeight="1" x14ac:dyDescent="0.2">
      <c r="A18" s="577" t="s">
        <v>367</v>
      </c>
      <c r="B18" s="577"/>
      <c r="C18" s="285" t="s">
        <v>36</v>
      </c>
      <c r="D18" s="552">
        <f>Calculations!E57</f>
        <v>263473</v>
      </c>
      <c r="E18" s="552">
        <f>Calculations!E162</f>
        <v>68034</v>
      </c>
      <c r="F18" s="552">
        <f>Calculations!E427</f>
        <v>865705</v>
      </c>
      <c r="G18" s="552">
        <f>Calculations!E685</f>
        <v>427484</v>
      </c>
      <c r="H18" s="552">
        <f>Calculations!E1000</f>
        <v>0</v>
      </c>
      <c r="I18" s="552">
        <f>Calculations!E1165</f>
        <v>0</v>
      </c>
      <c r="J18" s="552">
        <f>Calculations!E1489-H18-I18</f>
        <v>500766</v>
      </c>
      <c r="K18" s="52">
        <v>0</v>
      </c>
      <c r="L18" s="286" t="s">
        <v>36</v>
      </c>
    </row>
    <row r="19" spans="1:12" ht="12" customHeight="1" x14ac:dyDescent="0.2">
      <c r="A19" s="288" t="s">
        <v>368</v>
      </c>
      <c r="B19" s="288"/>
      <c r="C19" s="285" t="s">
        <v>38</v>
      </c>
      <c r="D19" s="552">
        <f>Calculations!E64</f>
        <v>0</v>
      </c>
      <c r="E19" s="552">
        <f>Calculations!E169</f>
        <v>0</v>
      </c>
      <c r="F19" s="552">
        <f>Calculations!E454</f>
        <v>2024</v>
      </c>
      <c r="G19" s="552">
        <f>Calculations!E692</f>
        <v>0</v>
      </c>
      <c r="H19" s="552">
        <f>Calculations!E1007</f>
        <v>0</v>
      </c>
      <c r="I19" s="552">
        <f>Calculations!E1172</f>
        <v>0</v>
      </c>
      <c r="J19" s="552">
        <f>Calculations!E1494-H19-I19</f>
        <v>0</v>
      </c>
      <c r="K19" s="55">
        <v>0</v>
      </c>
      <c r="L19" s="286" t="s">
        <v>38</v>
      </c>
    </row>
    <row r="20" spans="1:12" ht="12" customHeight="1" x14ac:dyDescent="0.2">
      <c r="A20" s="577" t="s">
        <v>369</v>
      </c>
      <c r="B20" s="577"/>
      <c r="C20" s="285"/>
      <c r="D20" s="282"/>
      <c r="E20" s="282"/>
      <c r="F20" s="282"/>
      <c r="G20" s="282"/>
      <c r="H20" s="282"/>
      <c r="I20" s="282"/>
      <c r="J20" s="282"/>
      <c r="K20" s="88"/>
      <c r="L20" s="289"/>
    </row>
    <row r="21" spans="1:12" ht="12" customHeight="1" x14ac:dyDescent="0.2">
      <c r="A21" s="288" t="s">
        <v>370</v>
      </c>
      <c r="B21" s="288"/>
      <c r="C21" s="285" t="s">
        <v>40</v>
      </c>
      <c r="D21" s="557">
        <f>Calculations!E71</f>
        <v>0</v>
      </c>
      <c r="E21" s="557">
        <f>Calculations!E176</f>
        <v>0</v>
      </c>
      <c r="F21" s="557">
        <f>Calculations!E481</f>
        <v>0</v>
      </c>
      <c r="G21" s="557">
        <f>Calculations!E699</f>
        <v>0</v>
      </c>
      <c r="H21" s="557">
        <f>Calculations!E1014</f>
        <v>0</v>
      </c>
      <c r="I21" s="557">
        <f>Calculations!E1179</f>
        <v>0</v>
      </c>
      <c r="J21" s="557">
        <f>Calculations!E1499-H21-I21</f>
        <v>0</v>
      </c>
      <c r="K21" s="53">
        <v>0</v>
      </c>
      <c r="L21" s="289" t="s">
        <v>40</v>
      </c>
    </row>
    <row r="22" spans="1:12" ht="12" customHeight="1" x14ac:dyDescent="0.2">
      <c r="A22" s="288" t="s">
        <v>371</v>
      </c>
      <c r="B22" s="288"/>
      <c r="C22" s="285" t="s">
        <v>42</v>
      </c>
      <c r="D22" s="552">
        <f>Calculations!E85</f>
        <v>0</v>
      </c>
      <c r="E22" s="552">
        <f>Calculations!E190</f>
        <v>0</v>
      </c>
      <c r="F22" s="552">
        <f>Calculations!E535</f>
        <v>0</v>
      </c>
      <c r="G22" s="552">
        <f>Calculations!E713</f>
        <v>0</v>
      </c>
      <c r="H22" s="552">
        <f>Calculations!E1028</f>
        <v>0</v>
      </c>
      <c r="I22" s="552">
        <f>Calculations!E1193</f>
        <v>0</v>
      </c>
      <c r="J22" s="552">
        <f>Calculations!E1504-H22-I22</f>
        <v>0</v>
      </c>
      <c r="K22" s="53">
        <v>0</v>
      </c>
      <c r="L22" s="286" t="s">
        <v>42</v>
      </c>
    </row>
    <row r="23" spans="1:12" ht="12" customHeight="1" x14ac:dyDescent="0.2">
      <c r="A23" s="288" t="s">
        <v>372</v>
      </c>
      <c r="B23" s="288"/>
      <c r="C23" s="285" t="s">
        <v>44</v>
      </c>
      <c r="D23" s="552">
        <f t="shared" ref="D23:K23" si="0">SUM(D11:D22)</f>
        <v>17982459</v>
      </c>
      <c r="E23" s="552">
        <f t="shared" si="0"/>
        <v>4118972</v>
      </c>
      <c r="F23" s="552">
        <f t="shared" si="0"/>
        <v>3147557</v>
      </c>
      <c r="G23" s="552">
        <f t="shared" si="0"/>
        <v>1443866</v>
      </c>
      <c r="H23" s="552">
        <f t="shared" si="0"/>
        <v>31509</v>
      </c>
      <c r="I23" s="552">
        <f t="shared" si="0"/>
        <v>326942</v>
      </c>
      <c r="J23" s="552">
        <f t="shared" si="0"/>
        <v>500766</v>
      </c>
      <c r="K23" s="552">
        <f t="shared" si="0"/>
        <v>0</v>
      </c>
      <c r="L23" s="286" t="s">
        <v>44</v>
      </c>
    </row>
    <row r="24" spans="1:12" ht="12" customHeight="1" x14ac:dyDescent="0.2">
      <c r="A24" s="288" t="s">
        <v>373</v>
      </c>
      <c r="B24" s="288"/>
      <c r="C24" s="285" t="s">
        <v>45</v>
      </c>
      <c r="D24" s="552">
        <f>Calculations!E106</f>
        <v>0</v>
      </c>
      <c r="E24" s="552">
        <f>Calculations!E211</f>
        <v>0</v>
      </c>
      <c r="F24" s="552">
        <f>Calculations!E629</f>
        <v>0</v>
      </c>
      <c r="G24" s="550">
        <f>Calculations!E734+'Food Service'!$E$10+'Food Service'!$E$11</f>
        <v>0</v>
      </c>
      <c r="H24" s="552">
        <f>Calculations!E1049</f>
        <v>0</v>
      </c>
      <c r="I24" s="552">
        <f>Calculations!E1214</f>
        <v>0</v>
      </c>
      <c r="J24" s="552">
        <f>Calculations!E1518-Calculations!E1109-H24-I24</f>
        <v>0</v>
      </c>
      <c r="K24" s="52">
        <v>0</v>
      </c>
      <c r="L24" s="286" t="s">
        <v>45</v>
      </c>
    </row>
    <row r="25" spans="1:12" ht="12" customHeight="1" x14ac:dyDescent="0.2">
      <c r="A25" s="288" t="s">
        <v>374</v>
      </c>
      <c r="B25" s="288"/>
      <c r="C25" s="285" t="s">
        <v>47</v>
      </c>
      <c r="D25" s="552">
        <f>Calculations!E93-Calculations!E106</f>
        <v>17982459</v>
      </c>
      <c r="E25" s="552">
        <f>Calculations!E198-Calculations!E211</f>
        <v>4118972</v>
      </c>
      <c r="F25" s="552">
        <f>Calculations!E563-Calculations!E629</f>
        <v>3147557</v>
      </c>
      <c r="G25" s="550">
        <f>Calculations!E721-Calculations!E734-'Food Service'!$E$10-'Food Service'!$E$11</f>
        <v>1443866</v>
      </c>
      <c r="H25" s="552">
        <f>Calculations!E1036-Calculations!E1049</f>
        <v>31509</v>
      </c>
      <c r="I25" s="552">
        <f>Calculations!E1201-Calculations!E1214</f>
        <v>326942</v>
      </c>
      <c r="J25" s="552">
        <f>Calculations!E1505-Calculations!E1518-Calculations!E1082-H25-I25</f>
        <v>500766</v>
      </c>
      <c r="K25" s="52">
        <v>0</v>
      </c>
      <c r="L25" s="286" t="s">
        <v>47</v>
      </c>
    </row>
    <row r="26" spans="1:12" ht="12" customHeight="1" x14ac:dyDescent="0.2">
      <c r="A26" s="288" t="s">
        <v>375</v>
      </c>
      <c r="B26" s="288"/>
      <c r="C26" s="285" t="s">
        <v>49</v>
      </c>
      <c r="D26" s="552">
        <f>Calculations!E92</f>
        <v>0</v>
      </c>
      <c r="E26" s="552">
        <f>Calculations!E197</f>
        <v>0</v>
      </c>
      <c r="F26" s="552">
        <f>Calculations!E562</f>
        <v>0</v>
      </c>
      <c r="G26" s="552">
        <f>Calculations!E720</f>
        <v>0</v>
      </c>
      <c r="H26" s="552">
        <f>Calculations!E1035</f>
        <v>0</v>
      </c>
      <c r="I26" s="552">
        <f>Calculations!E1200</f>
        <v>0</v>
      </c>
      <c r="J26" s="552">
        <f>Calculations!E1523-H26-I26</f>
        <v>0</v>
      </c>
      <c r="K26" s="52">
        <v>0</v>
      </c>
      <c r="L26" s="286" t="s">
        <v>49</v>
      </c>
    </row>
    <row r="27" spans="1:12" ht="12" customHeight="1" x14ac:dyDescent="0.2">
      <c r="B27" s="577"/>
      <c r="C27" s="285"/>
      <c r="D27" s="290"/>
      <c r="E27" s="290"/>
      <c r="F27" s="290"/>
      <c r="G27" s="290"/>
      <c r="H27" s="290"/>
      <c r="I27" s="290"/>
      <c r="J27" s="290"/>
      <c r="K27" s="291"/>
      <c r="L27" s="290"/>
    </row>
    <row r="28" spans="1:12" hidden="1" x14ac:dyDescent="0.2">
      <c r="A28" s="292"/>
      <c r="B28" s="577"/>
      <c r="C28" s="285"/>
      <c r="D28" s="290"/>
      <c r="E28" s="290"/>
      <c r="F28" s="290"/>
      <c r="G28" s="290"/>
      <c r="H28" s="290"/>
      <c r="I28" s="290"/>
      <c r="J28" s="290"/>
      <c r="K28" s="291"/>
      <c r="L28" s="290"/>
    </row>
    <row r="29" spans="1:12" ht="12" customHeight="1" x14ac:dyDescent="0.2">
      <c r="A29" s="293"/>
      <c r="B29" s="293"/>
      <c r="C29" s="293"/>
      <c r="D29" s="294" t="s">
        <v>376</v>
      </c>
      <c r="E29" s="295"/>
      <c r="F29" s="296"/>
      <c r="H29" s="297" t="s">
        <v>1323</v>
      </c>
      <c r="I29" s="212"/>
      <c r="J29" s="297"/>
    </row>
    <row r="30" spans="1:12" ht="12" customHeight="1" x14ac:dyDescent="0.2">
      <c r="A30" s="293"/>
      <c r="B30" s="293"/>
      <c r="C30" s="298"/>
      <c r="D30" s="153" t="s">
        <v>377</v>
      </c>
      <c r="E30" s="299"/>
      <c r="F30" s="296"/>
      <c r="H30" s="890" t="s">
        <v>378</v>
      </c>
      <c r="I30" s="890"/>
      <c r="J30" s="891"/>
      <c r="K30" s="52">
        <v>0</v>
      </c>
      <c r="L30" s="300" t="s">
        <v>24</v>
      </c>
    </row>
    <row r="31" spans="1:12" ht="12" customHeight="1" x14ac:dyDescent="0.2">
      <c r="A31" s="293"/>
      <c r="B31" s="293"/>
      <c r="C31" s="298"/>
      <c r="D31" s="153" t="s">
        <v>379</v>
      </c>
      <c r="E31" s="301" t="s">
        <v>380</v>
      </c>
      <c r="F31" s="296"/>
      <c r="H31" s="890" t="s">
        <v>381</v>
      </c>
      <c r="I31" s="890"/>
      <c r="J31" s="891"/>
      <c r="K31" s="52">
        <v>0</v>
      </c>
      <c r="L31" s="300" t="s">
        <v>26</v>
      </c>
    </row>
    <row r="32" spans="1:12" ht="12" customHeight="1" x14ac:dyDescent="0.2">
      <c r="A32" s="293"/>
      <c r="B32" s="293"/>
      <c r="C32" s="298"/>
      <c r="D32" s="302" t="s">
        <v>382</v>
      </c>
      <c r="E32" s="303" t="s">
        <v>361</v>
      </c>
      <c r="F32" s="293"/>
      <c r="H32" s="890" t="s">
        <v>383</v>
      </c>
      <c r="I32" s="890"/>
      <c r="J32" s="891"/>
      <c r="K32" s="52">
        <v>1786989</v>
      </c>
      <c r="L32" s="300" t="s">
        <v>28</v>
      </c>
    </row>
    <row r="33" spans="1:12" ht="12" customHeight="1" x14ac:dyDescent="0.2">
      <c r="A33" s="892" t="s">
        <v>384</v>
      </c>
      <c r="B33" s="892"/>
      <c r="C33" s="304"/>
      <c r="D33" s="552">
        <f t="array" ref="D33">SUM(SUMIFS('Accounting data'!$G$2:$G$37002,'Accounting data'!$I$2:$I$37002,"7*",'Accounting data'!$J$2:$J$37002,{"1*","2*","3*","4*","5*"},'Accounting data'!$K$2:$K$37002,"6*"))-SUM(SUMIFS('Accounting data'!$G$2:$G$37002,'Accounting data'!$I$2:$I$37002,"7*",'Accounting data'!$J$2:$J$37002,{"1*","2*","3*","4*","5*"},'Accounting data'!$K$2:$K$37002,"67*"))-SUM(SUMIFS('Accounting data'!$G$2:$G$37002,'Accounting data'!$I$2:$I$37002,"7*",'Accounting data'!$J$2:$J$37002,{"1*","2*","3*","4*","5*"},'Accounting data'!$K$2:$K$37002,"69*"))</f>
        <v>0</v>
      </c>
      <c r="E33" s="52">
        <v>0</v>
      </c>
      <c r="F33" s="305" t="s">
        <v>24</v>
      </c>
      <c r="H33" s="154"/>
      <c r="I33" s="154"/>
      <c r="J33" s="154"/>
      <c r="K33" s="306"/>
    </row>
    <row r="34" spans="1:12" ht="12" customHeight="1" x14ac:dyDescent="0.2">
      <c r="A34" s="890" t="s">
        <v>385</v>
      </c>
      <c r="B34" s="890"/>
      <c r="C34" s="578"/>
      <c r="D34" s="552">
        <f t="array" ref="D34">SUM(SUMIFS('Accounting data'!$G$2:$G$37002,'Accounting data'!$I$2:$I$37002,"8*",'Accounting data'!$J$2:$J$37002,{"1*","2*","3*","4*","5*"},'Accounting data'!$K$2:$K$37002,"6*"))-SUM(SUMIFS('Accounting data'!$G$2:$G$37002,'Accounting data'!$I$2:$I$37002,"8*",'Accounting data'!$J$2:$J$37002,{"1*","2*","3*","4*","5*"},'Accounting data'!$K$2:$K$37002,"67*"))-SUM(SUMIFS('Accounting data'!$G$2:$G$37002,'Accounting data'!$I$2:$I$37002,"8*",'Accounting data'!$J$2:$J$37002,{"1*","2*","3*","4*","5*"},'Accounting data'!$K$2:$K$37002,"69*"))</f>
        <v>0</v>
      </c>
      <c r="E34" s="52">
        <v>0</v>
      </c>
      <c r="F34" s="305" t="s">
        <v>26</v>
      </c>
      <c r="H34" s="154"/>
      <c r="I34" s="154"/>
      <c r="J34" s="154"/>
      <c r="K34" s="306"/>
    </row>
    <row r="35" spans="1:12" ht="12" customHeight="1" x14ac:dyDescent="0.2">
      <c r="A35" s="890" t="s">
        <v>386</v>
      </c>
      <c r="B35" s="890"/>
      <c r="C35" s="578"/>
      <c r="D35" s="552">
        <f t="array" ref="D35">SUM(SUMIFS('Accounting data'!$G$2:$G$37002,'Accounting data'!$I$2:$I$37002,"9*",'Accounting data'!$J$2:$J$37002,{"1*","2*","3*","4*","5*"},'Accounting data'!$K$2:$K$37002,"6*"))-SUM(SUMIFS('Accounting data'!$G$2:$G$37002,'Accounting data'!$I$2:$I$37002,"9*",'Accounting data'!$J$2:$J$37002,{"1*","2*","3*","4*","5*"},'Accounting data'!$K$2:$K$37002,"67*"))-SUM(SUMIFS('Accounting data'!$G$2:$G$37002,'Accounting data'!$I$2:$I$37002,"9*",'Accounting data'!$J$2:$J$37002,{"1*","2*","3*","4*","5*"},'Accounting data'!$K$2:$K$37002,"69*"))</f>
        <v>0</v>
      </c>
      <c r="E35" s="52">
        <v>0</v>
      </c>
      <c r="F35" s="305" t="s">
        <v>28</v>
      </c>
      <c r="H35" s="297" t="s">
        <v>387</v>
      </c>
      <c r="I35" s="212"/>
      <c r="J35" s="154"/>
      <c r="K35" s="306"/>
    </row>
    <row r="36" spans="1:12" ht="12" customHeight="1" x14ac:dyDescent="0.2">
      <c r="A36" s="890" t="s">
        <v>388</v>
      </c>
      <c r="B36" s="890"/>
      <c r="C36" s="304"/>
      <c r="D36" s="552">
        <f>Calculations!E1335</f>
        <v>0</v>
      </c>
      <c r="E36" s="52">
        <v>0</v>
      </c>
      <c r="F36" s="289" t="s">
        <v>31</v>
      </c>
      <c r="H36" s="894" t="s">
        <v>1316</v>
      </c>
      <c r="I36" s="894"/>
      <c r="J36" s="895"/>
      <c r="K36" s="52">
        <v>0</v>
      </c>
      <c r="L36" s="300" t="s">
        <v>24</v>
      </c>
    </row>
    <row r="37" spans="1:12" ht="12" customHeight="1" x14ac:dyDescent="0.2">
      <c r="C37" s="300"/>
      <c r="E37" s="157"/>
      <c r="F37" s="305"/>
      <c r="H37" s="894" t="s">
        <v>1317</v>
      </c>
      <c r="I37" s="894"/>
      <c r="J37" s="895"/>
      <c r="K37" s="52">
        <v>0</v>
      </c>
      <c r="L37" s="300" t="s">
        <v>26</v>
      </c>
    </row>
    <row r="38" spans="1:12" ht="12" customHeight="1" x14ac:dyDescent="0.2">
      <c r="C38" s="300"/>
      <c r="E38" s="157"/>
      <c r="F38" s="305"/>
      <c r="H38" s="894" t="s">
        <v>1318</v>
      </c>
      <c r="I38" s="894"/>
      <c r="J38" s="895"/>
      <c r="K38" s="52">
        <v>0</v>
      </c>
      <c r="L38" s="300" t="s">
        <v>28</v>
      </c>
    </row>
    <row r="39" spans="1:12" ht="12" customHeight="1" x14ac:dyDescent="0.2">
      <c r="A39" s="297" t="s">
        <v>389</v>
      </c>
      <c r="B39" s="212"/>
      <c r="E39" s="307" t="s">
        <v>390</v>
      </c>
      <c r="F39"/>
      <c r="H39" s="894" t="s">
        <v>1319</v>
      </c>
      <c r="I39" s="894"/>
      <c r="J39" s="895"/>
      <c r="K39" s="552">
        <f>K36+K37-K38</f>
        <v>0</v>
      </c>
      <c r="L39" s="300" t="s">
        <v>31</v>
      </c>
    </row>
    <row r="40" spans="1:12" ht="12" customHeight="1" x14ac:dyDescent="0.2">
      <c r="A40" s="893" t="s">
        <v>391</v>
      </c>
      <c r="B40" s="801"/>
      <c r="E40" s="54">
        <v>0</v>
      </c>
      <c r="F40" s="218" t="s">
        <v>24</v>
      </c>
      <c r="K40" s="306"/>
    </row>
    <row r="41" spans="1:12" ht="12" customHeight="1" x14ac:dyDescent="0.2">
      <c r="A41" s="801" t="s">
        <v>392</v>
      </c>
      <c r="B41" s="801"/>
      <c r="C41" s="308"/>
      <c r="E41" s="54">
        <v>0</v>
      </c>
      <c r="F41" s="289" t="s">
        <v>26</v>
      </c>
      <c r="H41" s="894" t="s">
        <v>1320</v>
      </c>
      <c r="I41" s="894"/>
      <c r="J41" s="894"/>
      <c r="K41" s="54">
        <v>0</v>
      </c>
      <c r="L41" s="300" t="s">
        <v>33</v>
      </c>
    </row>
    <row r="42" spans="1:12" ht="12" customHeight="1" x14ac:dyDescent="0.2">
      <c r="A42" s="801" t="s">
        <v>393</v>
      </c>
      <c r="B42" s="801"/>
      <c r="C42" s="308"/>
      <c r="E42" s="54">
        <v>0</v>
      </c>
      <c r="F42" s="289" t="s">
        <v>28</v>
      </c>
      <c r="H42" s="894" t="s">
        <v>1321</v>
      </c>
      <c r="I42" s="894"/>
      <c r="J42" s="894"/>
      <c r="K42" s="54">
        <v>0</v>
      </c>
      <c r="L42" s="300" t="s">
        <v>35</v>
      </c>
    </row>
    <row r="43" spans="1:12" ht="12" customHeight="1" x14ac:dyDescent="0.2">
      <c r="A43" s="801" t="s">
        <v>394</v>
      </c>
      <c r="B43" s="801"/>
      <c r="C43" s="308"/>
      <c r="E43" s="54">
        <v>0</v>
      </c>
      <c r="F43" s="289" t="s">
        <v>31</v>
      </c>
      <c r="K43" s="306"/>
    </row>
    <row r="44" spans="1:12" ht="12" customHeight="1" x14ac:dyDescent="0.2">
      <c r="A44" s="801" t="s">
        <v>395</v>
      </c>
      <c r="B44" s="801"/>
      <c r="C44" s="308"/>
      <c r="E44" s="54">
        <v>0</v>
      </c>
      <c r="F44" s="289" t="s">
        <v>33</v>
      </c>
      <c r="H44" s="300"/>
      <c r="I44" s="309"/>
      <c r="J44" s="309"/>
      <c r="K44" s="310"/>
      <c r="L44" s="309"/>
    </row>
    <row r="45" spans="1:12" ht="12" customHeight="1" x14ac:dyDescent="0.2">
      <c r="A45"/>
      <c r="B45"/>
      <c r="C45" s="300"/>
      <c r="E45"/>
      <c r="F45"/>
      <c r="H45" s="297" t="s">
        <v>396</v>
      </c>
      <c r="I45" s="212"/>
      <c r="J45" s="297"/>
      <c r="K45" s="306"/>
    </row>
    <row r="46" spans="1:12" ht="12.75" customHeight="1" x14ac:dyDescent="0.2">
      <c r="E46" s="311"/>
      <c r="H46" s="892" t="s">
        <v>397</v>
      </c>
      <c r="I46" s="892"/>
      <c r="J46" s="899"/>
      <c r="K46" s="52">
        <v>44605</v>
      </c>
      <c r="L46" s="300" t="s">
        <v>24</v>
      </c>
    </row>
    <row r="47" spans="1:12" ht="12.75" customHeight="1" x14ac:dyDescent="0.2">
      <c r="A47" s="312" t="s">
        <v>398</v>
      </c>
      <c r="B47" s="313"/>
      <c r="C47" s="296"/>
      <c r="E47" s="314" t="s">
        <v>351</v>
      </c>
      <c r="H47" s="892" t="s">
        <v>399</v>
      </c>
      <c r="I47" s="892"/>
      <c r="J47" s="899"/>
      <c r="K47" s="52">
        <v>303701</v>
      </c>
      <c r="L47" s="300" t="s">
        <v>26</v>
      </c>
    </row>
    <row r="48" spans="1:12" ht="12.75" customHeight="1" x14ac:dyDescent="0.2">
      <c r="A48" s="577" t="s">
        <v>400</v>
      </c>
      <c r="B48" s="577"/>
      <c r="C48" s="315"/>
      <c r="E48" s="552">
        <f>Calculations!E1082+Calculations!E1449</f>
        <v>4846569</v>
      </c>
      <c r="F48" s="305" t="s">
        <v>24</v>
      </c>
      <c r="G48" s="577"/>
      <c r="K48" s="306"/>
    </row>
    <row r="49" spans="1:26" ht="12.75" customHeight="1" x14ac:dyDescent="0.2">
      <c r="A49" s="892" t="s">
        <v>401</v>
      </c>
      <c r="B49" s="892"/>
      <c r="C49" s="315"/>
      <c r="E49" s="52">
        <v>0</v>
      </c>
      <c r="F49" s="305" t="s">
        <v>26</v>
      </c>
      <c r="K49" s="306"/>
    </row>
    <row r="50" spans="1:26" ht="12.75" customHeight="1" x14ac:dyDescent="0.2">
      <c r="A50" s="890" t="s">
        <v>402</v>
      </c>
      <c r="B50" s="890"/>
      <c r="E50" s="552">
        <f>Calculations!E1539-Calculations!E1449</f>
        <v>0</v>
      </c>
      <c r="F50" s="316" t="s">
        <v>28</v>
      </c>
      <c r="H50" s="297" t="s">
        <v>403</v>
      </c>
      <c r="I50" s="297"/>
      <c r="K50" s="306"/>
    </row>
    <row r="51" spans="1:26" ht="12.75" customHeight="1" x14ac:dyDescent="0.2">
      <c r="E51" s="157"/>
      <c r="G51" s="317"/>
      <c r="H51" s="157" t="s">
        <v>404</v>
      </c>
      <c r="K51" s="54">
        <v>0</v>
      </c>
      <c r="L51" s="300" t="s">
        <v>24</v>
      </c>
      <c r="Z51" s="515"/>
    </row>
    <row r="52" spans="1:26" ht="12.75" customHeight="1" x14ac:dyDescent="0.2">
      <c r="A52" s="212" t="s">
        <v>405</v>
      </c>
      <c r="B52" s="318"/>
      <c r="C52" s="300"/>
      <c r="E52" s="157"/>
      <c r="G52" s="317"/>
      <c r="H52" s="157" t="s">
        <v>406</v>
      </c>
      <c r="K52" s="54">
        <v>0</v>
      </c>
      <c r="L52" s="300" t="s">
        <v>26</v>
      </c>
      <c r="Z52" s="515"/>
    </row>
    <row r="53" spans="1:26" ht="12.75" customHeight="1" x14ac:dyDescent="0.2">
      <c r="A53" s="154" t="s">
        <v>407</v>
      </c>
      <c r="C53" s="279"/>
      <c r="D53" s="319"/>
      <c r="E53" s="54">
        <v>0</v>
      </c>
      <c r="F53" s="320" t="s">
        <v>24</v>
      </c>
      <c r="G53" s="317"/>
      <c r="H53" s="157" t="s">
        <v>408</v>
      </c>
      <c r="K53" s="54">
        <v>7003</v>
      </c>
      <c r="L53" s="279" t="s">
        <v>28</v>
      </c>
      <c r="Z53" s="515"/>
    </row>
    <row r="54" spans="1:26" ht="12.75" customHeight="1" x14ac:dyDescent="0.2">
      <c r="A54" s="154" t="s">
        <v>409</v>
      </c>
      <c r="C54" s="279"/>
      <c r="D54" s="319"/>
      <c r="E54" s="54">
        <v>0</v>
      </c>
      <c r="F54" s="320" t="s">
        <v>26</v>
      </c>
      <c r="G54" s="317"/>
      <c r="H54" s="157" t="s">
        <v>410</v>
      </c>
      <c r="K54" s="54">
        <v>101723</v>
      </c>
      <c r="L54" s="279" t="s">
        <v>31</v>
      </c>
      <c r="Z54" s="515"/>
    </row>
    <row r="55" spans="1:26" ht="12.75" customHeight="1" x14ac:dyDescent="0.2">
      <c r="A55" s="154" t="s">
        <v>411</v>
      </c>
      <c r="C55" s="279"/>
      <c r="D55" s="319"/>
      <c r="E55" s="54">
        <v>0</v>
      </c>
      <c r="F55" s="320" t="s">
        <v>28</v>
      </c>
      <c r="G55" s="317"/>
      <c r="H55" s="577" t="s">
        <v>412</v>
      </c>
      <c r="I55" s="577"/>
      <c r="J55" s="577"/>
      <c r="K55" s="54">
        <v>0</v>
      </c>
      <c r="L55" s="279" t="s">
        <v>33</v>
      </c>
      <c r="Z55" s="515"/>
    </row>
    <row r="56" spans="1:26" ht="12.75" customHeight="1" x14ac:dyDescent="0.2">
      <c r="A56" s="154" t="s">
        <v>413</v>
      </c>
      <c r="C56" s="279"/>
      <c r="D56" s="319"/>
      <c r="E56" s="54">
        <v>0</v>
      </c>
      <c r="F56" s="320" t="s">
        <v>31</v>
      </c>
      <c r="H56" s="577" t="s">
        <v>414</v>
      </c>
      <c r="I56" s="577"/>
      <c r="J56" s="577"/>
      <c r="K56" s="54">
        <v>380029</v>
      </c>
      <c r="L56" s="279" t="s">
        <v>35</v>
      </c>
      <c r="Z56" s="515"/>
    </row>
    <row r="57" spans="1:26" ht="12.75" customHeight="1" x14ac:dyDescent="0.2">
      <c r="C57" s="321"/>
      <c r="D57" s="319"/>
      <c r="F57" s="264"/>
      <c r="G57" s="317"/>
      <c r="K57" s="306"/>
      <c r="L57" s="279"/>
      <c r="Z57" s="515"/>
    </row>
    <row r="58" spans="1:26" ht="12.4" customHeight="1" x14ac:dyDescent="0.2">
      <c r="G58" s="317"/>
      <c r="H58" s="897" t="s">
        <v>1291</v>
      </c>
      <c r="I58" s="897"/>
      <c r="J58" s="897"/>
      <c r="K58" s="897"/>
      <c r="Z58" s="515"/>
    </row>
    <row r="59" spans="1:26" ht="41.65" customHeight="1" x14ac:dyDescent="0.2">
      <c r="G59" s="317"/>
      <c r="H59" s="898" t="s">
        <v>1286</v>
      </c>
      <c r="I59" s="898"/>
      <c r="J59" s="898"/>
      <c r="K59" s="664">
        <v>0</v>
      </c>
      <c r="L59" s="279" t="s">
        <v>24</v>
      </c>
      <c r="Z59" s="515"/>
    </row>
    <row r="60" spans="1:26" ht="41.65" customHeight="1" x14ac:dyDescent="0.2">
      <c r="G60" s="317"/>
      <c r="H60" s="898" t="s">
        <v>1287</v>
      </c>
      <c r="I60" s="898"/>
      <c r="J60" s="898"/>
      <c r="K60" s="664">
        <v>0</v>
      </c>
      <c r="L60" s="279" t="s">
        <v>26</v>
      </c>
      <c r="Z60" s="515"/>
    </row>
    <row r="61" spans="1:26" ht="27" customHeight="1" x14ac:dyDescent="0.2">
      <c r="G61" s="317"/>
      <c r="Z61" s="515"/>
    </row>
    <row r="62" spans="1:26" ht="12.75" customHeight="1" x14ac:dyDescent="0.2">
      <c r="H62" s="696" t="s">
        <v>1375</v>
      </c>
      <c r="Z62" s="515"/>
    </row>
    <row r="63" spans="1:26" ht="12.75" customHeight="1" x14ac:dyDescent="0.2">
      <c r="H63" s="896" t="s">
        <v>1292</v>
      </c>
      <c r="I63" s="896"/>
      <c r="J63" s="896"/>
      <c r="K63" s="665">
        <v>66485</v>
      </c>
      <c r="L63" s="681" t="s">
        <v>24</v>
      </c>
      <c r="Z63" s="515"/>
    </row>
    <row r="64" spans="1:26" ht="12.75" customHeight="1" x14ac:dyDescent="0.2">
      <c r="Z64" s="515"/>
    </row>
  </sheetData>
  <sheetProtection sheet="1" formatCells="0" formatColumns="0" formatRows="0"/>
  <mergeCells count="29">
    <mergeCell ref="H63:J63"/>
    <mergeCell ref="H58:K58"/>
    <mergeCell ref="H59:J59"/>
    <mergeCell ref="H60:J60"/>
    <mergeCell ref="H37:J37"/>
    <mergeCell ref="H46:J46"/>
    <mergeCell ref="H47:J47"/>
    <mergeCell ref="H36:J36"/>
    <mergeCell ref="H42:J42"/>
    <mergeCell ref="H41:J41"/>
    <mergeCell ref="H38:J38"/>
    <mergeCell ref="H39:J39"/>
    <mergeCell ref="A50:B50"/>
    <mergeCell ref="A33:B33"/>
    <mergeCell ref="A44:B44"/>
    <mergeCell ref="A40:B40"/>
    <mergeCell ref="A43:B43"/>
    <mergeCell ref="A34:B34"/>
    <mergeCell ref="A49:B49"/>
    <mergeCell ref="A35:B35"/>
    <mergeCell ref="A36:B36"/>
    <mergeCell ref="A41:B41"/>
    <mergeCell ref="A42:B42"/>
    <mergeCell ref="F1:G1"/>
    <mergeCell ref="C4:L4"/>
    <mergeCell ref="D6:K6"/>
    <mergeCell ref="H32:J32"/>
    <mergeCell ref="H30:J30"/>
    <mergeCell ref="H31:J31"/>
  </mergeCells>
  <conditionalFormatting sqref="E33:E36 E49 E53:E56">
    <cfRule type="expression" dxfId="43" priority="8" stopIfTrue="1">
      <formula>$E33=""</formula>
    </cfRule>
  </conditionalFormatting>
  <conditionalFormatting sqref="E40:E44">
    <cfRule type="expression" dxfId="42" priority="4" stopIfTrue="1">
      <formula>$E40=""</formula>
    </cfRule>
  </conditionalFormatting>
  <conditionalFormatting sqref="K11 K13:K19 K21:K22 K24:K26 K30:K32 K36:K38 K41:K42 K46:K47 K51:K56 K59:K60">
    <cfRule type="expression" dxfId="41" priority="7" stopIfTrue="1">
      <formula>$K11=""</formula>
    </cfRule>
  </conditionalFormatting>
  <conditionalFormatting sqref="K63">
    <cfRule type="expression" dxfId="40" priority="1" stopIfTrue="1">
      <formula>$K63=""</formula>
    </cfRule>
  </conditionalFormatting>
  <dataValidations count="2">
    <dataValidation allowBlank="1" showInputMessage="1" showErrorMessage="1" prompt="This amount has been adjusted to include federal food service revenue amounts included on the FS AFR." sqref="G24"/>
    <dataValidation allowBlank="1" showInputMessage="1" showErrorMessage="1" prompt="This amount has been adjusted to exclude federal food service revenue amounts included on the FS AFR. If the amount is negative, refer to the General instructions for Page 10." sqref="G25"/>
  </dataValidations>
  <hyperlinks>
    <hyperlink ref="E31:E32" location="PropertyDisbursements" display="Property "/>
    <hyperlink ref="A39:B39" location="PropertyDisbursementsByType" display="Property Disbursements by Type"/>
    <hyperlink ref="A47" location="DebtService" display="Debt Service"/>
    <hyperlink ref="H35" location="DebtService" display="Debt Service"/>
    <hyperlink ref="H45" location="DebtService" display="Debt Service"/>
    <hyperlink ref="H35:I35" location="LongandShortTermDebt" display="Long-term and Short-term Debt"/>
    <hyperlink ref="H45:J45" location="UtilitiesandEnergyServices" display="Utilities and Energy Detail (Function 2600)"/>
    <hyperlink ref="H50" location="TechnologyDetail" display="Technology"/>
    <hyperlink ref="H29:J29" location="CashandInvestments" display="Cash and Investments held at June 30, 2017"/>
    <hyperlink ref="K9:K10" location="PropertyDisbursements" display="Property"/>
    <hyperlink ref="A52:B52" location="Revenue_From_Selected_Federal_Sources" display="Revenue from selected federal sources "/>
    <hyperlink ref="H58" location="SupportServicesInstructionDetail" display="Support services-instruction detail"/>
    <hyperlink ref="B5" location="GeneralPage10" display="Instructions"/>
  </hyperlinks>
  <pageMargins left="0.7" right="0.7" top="0.26" bottom="0.45" header="0.17" footer="0.17"/>
  <pageSetup paperSize="5" scale="70" orientation="landscape" r:id="rId1"/>
  <headerFooter>
    <oddFooter>&amp;LRev. 8/25 Arizona Department of Education and Auditor General&amp;CFY 2025
No assurance provided.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49"/>
  <sheetViews>
    <sheetView showGridLines="0" topLeftCell="D1" workbookViewId="0">
      <selection activeCell="Q34" sqref="Q33:R34"/>
    </sheetView>
  </sheetViews>
  <sheetFormatPr defaultColWidth="9" defaultRowHeight="12.75" x14ac:dyDescent="0.2"/>
  <cols>
    <col min="1" max="1" width="48.33203125" style="323" customWidth="1"/>
    <col min="2" max="2" width="2.83203125" style="323" customWidth="1"/>
    <col min="3" max="3" width="35.33203125" style="323" customWidth="1"/>
    <col min="4" max="4" width="13.83203125" style="323" bestFit="1" customWidth="1"/>
    <col min="5" max="5" width="15.33203125" style="323" customWidth="1"/>
    <col min="6" max="6" width="14.1640625" style="323" customWidth="1"/>
    <col min="7" max="7" width="15.1640625" style="323" customWidth="1"/>
    <col min="8" max="8" width="13.33203125" style="324" customWidth="1"/>
    <col min="9" max="9" width="17.33203125" style="324" customWidth="1"/>
    <col min="10" max="10" width="15.1640625" style="324" customWidth="1"/>
    <col min="11" max="11" width="20.33203125" style="324" customWidth="1"/>
    <col min="12" max="12" width="16" style="323" customWidth="1"/>
    <col min="13" max="13" width="16.83203125" style="323" customWidth="1"/>
    <col min="14" max="14" width="16" style="323" customWidth="1"/>
    <col min="15" max="15" width="14.83203125" style="323" customWidth="1"/>
    <col min="16" max="16" width="9.5" style="323" customWidth="1"/>
    <col min="17" max="17" width="14.83203125" style="323" customWidth="1"/>
    <col min="18" max="21" width="9" style="329" customWidth="1"/>
    <col min="22" max="26" width="9" style="330" customWidth="1"/>
    <col min="27" max="27" width="8.1640625" style="330" bestFit="1" customWidth="1"/>
    <col min="28" max="29" width="9" style="330" customWidth="1"/>
    <col min="30" max="34" width="10.33203125" style="331" customWidth="1"/>
    <col min="35" max="35" width="9" style="331" customWidth="1"/>
    <col min="36" max="48" width="9" style="329" customWidth="1"/>
    <col min="49" max="256" width="9" style="323" customWidth="1"/>
    <col min="257" max="257" width="60.33203125" style="323" customWidth="1"/>
    <col min="258" max="258" width="2.83203125" style="323" customWidth="1"/>
    <col min="259" max="259" width="14.83203125" style="323" customWidth="1"/>
    <col min="260" max="260" width="13.83203125" style="323" bestFit="1" customWidth="1"/>
    <col min="261" max="261" width="15.33203125" style="323" customWidth="1"/>
    <col min="262" max="262" width="14.1640625" style="323" customWidth="1"/>
    <col min="263" max="263" width="15.1640625" style="323" customWidth="1"/>
    <col min="264" max="264" width="13.33203125" style="323" customWidth="1"/>
    <col min="265" max="265" width="17.33203125" style="323" customWidth="1"/>
    <col min="266" max="266" width="15.1640625" style="323" customWidth="1"/>
    <col min="267" max="267" width="19.6640625" style="323" customWidth="1"/>
    <col min="268" max="270" width="16" style="323" customWidth="1"/>
    <col min="271" max="271" width="14.83203125" style="323" customWidth="1"/>
    <col min="272" max="272" width="17.33203125" style="323" customWidth="1"/>
    <col min="273" max="273" width="14.83203125" style="323" customWidth="1"/>
    <col min="274" max="282" width="9" style="323" customWidth="1"/>
    <col min="283" max="283" width="7.1640625" style="323" bestFit="1" customWidth="1"/>
    <col min="284" max="285" width="9" style="323" customWidth="1"/>
    <col min="286" max="290" width="10.33203125" style="323" customWidth="1"/>
    <col min="291" max="512" width="9" style="323" customWidth="1"/>
    <col min="513" max="513" width="60.33203125" style="323" customWidth="1"/>
    <col min="514" max="514" width="2.83203125" style="323" customWidth="1"/>
    <col min="515" max="515" width="14.83203125" style="323" customWidth="1"/>
    <col min="516" max="516" width="13.83203125" style="323" bestFit="1" customWidth="1"/>
    <col min="517" max="517" width="15.33203125" style="323" customWidth="1"/>
    <col min="518" max="518" width="14.1640625" style="323" customWidth="1"/>
    <col min="519" max="519" width="15.1640625" style="323" customWidth="1"/>
    <col min="520" max="520" width="13.33203125" style="323" customWidth="1"/>
    <col min="521" max="521" width="17.33203125" style="323" customWidth="1"/>
    <col min="522" max="522" width="15.1640625" style="323" customWidth="1"/>
    <col min="523" max="523" width="19.6640625" style="323" customWidth="1"/>
    <col min="524" max="526" width="16" style="323" customWidth="1"/>
    <col min="527" max="527" width="14.83203125" style="323" customWidth="1"/>
    <col min="528" max="528" width="17.33203125" style="323" customWidth="1"/>
    <col min="529" max="529" width="14.83203125" style="323" customWidth="1"/>
    <col min="530" max="538" width="9" style="323" customWidth="1"/>
    <col min="539" max="539" width="7.1640625" style="323" bestFit="1" customWidth="1"/>
    <col min="540" max="541" width="9" style="323" customWidth="1"/>
    <col min="542" max="546" width="10.33203125" style="323" customWidth="1"/>
    <col min="547" max="768" width="9" style="323" customWidth="1"/>
    <col min="769" max="769" width="60.33203125" style="323" customWidth="1"/>
    <col min="770" max="770" width="2.83203125" style="323" customWidth="1"/>
    <col min="771" max="771" width="14.83203125" style="323" customWidth="1"/>
    <col min="772" max="772" width="13.83203125" style="323" bestFit="1" customWidth="1"/>
    <col min="773" max="773" width="15.33203125" style="323" customWidth="1"/>
    <col min="774" max="774" width="14.1640625" style="323" customWidth="1"/>
    <col min="775" max="775" width="15.1640625" style="323" customWidth="1"/>
    <col min="776" max="776" width="13.33203125" style="323" customWidth="1"/>
    <col min="777" max="777" width="17.33203125" style="323" customWidth="1"/>
    <col min="778" max="778" width="15.1640625" style="323" customWidth="1"/>
    <col min="779" max="779" width="19.6640625" style="323" customWidth="1"/>
    <col min="780" max="782" width="16" style="323" customWidth="1"/>
    <col min="783" max="783" width="14.83203125" style="323" customWidth="1"/>
    <col min="784" max="784" width="17.33203125" style="323" customWidth="1"/>
    <col min="785" max="785" width="14.83203125" style="323" customWidth="1"/>
    <col min="786" max="794" width="9" style="323" customWidth="1"/>
    <col min="795" max="795" width="7.1640625" style="323" bestFit="1" customWidth="1"/>
    <col min="796" max="797" width="9" style="323" customWidth="1"/>
    <col min="798" max="802" width="10.33203125" style="323" customWidth="1"/>
    <col min="803" max="1024" width="9" style="323" customWidth="1"/>
    <col min="1025" max="1025" width="60.33203125" style="323" customWidth="1"/>
    <col min="1026" max="1026" width="2.83203125" style="323" customWidth="1"/>
    <col min="1027" max="1027" width="14.83203125" style="323" customWidth="1"/>
    <col min="1028" max="1028" width="13.83203125" style="323" bestFit="1" customWidth="1"/>
    <col min="1029" max="1029" width="15.33203125" style="323" customWidth="1"/>
    <col min="1030" max="1030" width="14.1640625" style="323" customWidth="1"/>
    <col min="1031" max="1031" width="15.1640625" style="323" customWidth="1"/>
    <col min="1032" max="1032" width="13.33203125" style="323" customWidth="1"/>
    <col min="1033" max="1033" width="17.33203125" style="323" customWidth="1"/>
    <col min="1034" max="1034" width="15.1640625" style="323" customWidth="1"/>
    <col min="1035" max="1035" width="19.6640625" style="323" customWidth="1"/>
    <col min="1036" max="1038" width="16" style="323" customWidth="1"/>
    <col min="1039" max="1039" width="14.83203125" style="323" customWidth="1"/>
    <col min="1040" max="1040" width="17.33203125" style="323" customWidth="1"/>
    <col min="1041" max="1041" width="14.83203125" style="323" customWidth="1"/>
    <col min="1042" max="1050" width="9" style="323" customWidth="1"/>
    <col min="1051" max="1051" width="7.1640625" style="323" bestFit="1" customWidth="1"/>
    <col min="1052" max="1053" width="9" style="323" customWidth="1"/>
    <col min="1054" max="1058" width="10.33203125" style="323" customWidth="1"/>
    <col min="1059" max="1280" width="9" style="323" customWidth="1"/>
    <col min="1281" max="1281" width="60.33203125" style="323" customWidth="1"/>
    <col min="1282" max="1282" width="2.83203125" style="323" customWidth="1"/>
    <col min="1283" max="1283" width="14.83203125" style="323" customWidth="1"/>
    <col min="1284" max="1284" width="13.83203125" style="323" bestFit="1" customWidth="1"/>
    <col min="1285" max="1285" width="15.33203125" style="323" customWidth="1"/>
    <col min="1286" max="1286" width="14.1640625" style="323" customWidth="1"/>
    <col min="1287" max="1287" width="15.1640625" style="323" customWidth="1"/>
    <col min="1288" max="1288" width="13.33203125" style="323" customWidth="1"/>
    <col min="1289" max="1289" width="17.33203125" style="323" customWidth="1"/>
    <col min="1290" max="1290" width="15.1640625" style="323" customWidth="1"/>
    <col min="1291" max="1291" width="19.6640625" style="323" customWidth="1"/>
    <col min="1292" max="1294" width="16" style="323" customWidth="1"/>
    <col min="1295" max="1295" width="14.83203125" style="323" customWidth="1"/>
    <col min="1296" max="1296" width="17.33203125" style="323" customWidth="1"/>
    <col min="1297" max="1297" width="14.83203125" style="323" customWidth="1"/>
    <col min="1298" max="1306" width="9" style="323" customWidth="1"/>
    <col min="1307" max="1307" width="7.1640625" style="323" bestFit="1" customWidth="1"/>
    <col min="1308" max="1309" width="9" style="323" customWidth="1"/>
    <col min="1310" max="1314" width="10.33203125" style="323" customWidth="1"/>
    <col min="1315" max="1536" width="9" style="323" customWidth="1"/>
    <col min="1537" max="1537" width="60.33203125" style="323" customWidth="1"/>
    <col min="1538" max="1538" width="2.83203125" style="323" customWidth="1"/>
    <col min="1539" max="1539" width="14.83203125" style="323" customWidth="1"/>
    <col min="1540" max="1540" width="13.83203125" style="323" bestFit="1" customWidth="1"/>
    <col min="1541" max="1541" width="15.33203125" style="323" customWidth="1"/>
    <col min="1542" max="1542" width="14.1640625" style="323" customWidth="1"/>
    <col min="1543" max="1543" width="15.1640625" style="323" customWidth="1"/>
    <col min="1544" max="1544" width="13.33203125" style="323" customWidth="1"/>
    <col min="1545" max="1545" width="17.33203125" style="323" customWidth="1"/>
    <col min="1546" max="1546" width="15.1640625" style="323" customWidth="1"/>
    <col min="1547" max="1547" width="19.6640625" style="323" customWidth="1"/>
    <col min="1548" max="1550" width="16" style="323" customWidth="1"/>
    <col min="1551" max="1551" width="14.83203125" style="323" customWidth="1"/>
    <col min="1552" max="1552" width="17.33203125" style="323" customWidth="1"/>
    <col min="1553" max="1553" width="14.83203125" style="323" customWidth="1"/>
    <col min="1554" max="1562" width="9" style="323" customWidth="1"/>
    <col min="1563" max="1563" width="7.1640625" style="323" bestFit="1" customWidth="1"/>
    <col min="1564" max="1565" width="9" style="323" customWidth="1"/>
    <col min="1566" max="1570" width="10.33203125" style="323" customWidth="1"/>
    <col min="1571" max="1792" width="9" style="323" customWidth="1"/>
    <col min="1793" max="1793" width="60.33203125" style="323" customWidth="1"/>
    <col min="1794" max="1794" width="2.83203125" style="323" customWidth="1"/>
    <col min="1795" max="1795" width="14.83203125" style="323" customWidth="1"/>
    <col min="1796" max="1796" width="13.83203125" style="323" bestFit="1" customWidth="1"/>
    <col min="1797" max="1797" width="15.33203125" style="323" customWidth="1"/>
    <col min="1798" max="1798" width="14.1640625" style="323" customWidth="1"/>
    <col min="1799" max="1799" width="15.1640625" style="323" customWidth="1"/>
    <col min="1800" max="1800" width="13.33203125" style="323" customWidth="1"/>
    <col min="1801" max="1801" width="17.33203125" style="323" customWidth="1"/>
    <col min="1802" max="1802" width="15.1640625" style="323" customWidth="1"/>
    <col min="1803" max="1803" width="19.6640625" style="323" customWidth="1"/>
    <col min="1804" max="1806" width="16" style="323" customWidth="1"/>
    <col min="1807" max="1807" width="14.83203125" style="323" customWidth="1"/>
    <col min="1808" max="1808" width="17.33203125" style="323" customWidth="1"/>
    <col min="1809" max="1809" width="14.83203125" style="323" customWidth="1"/>
    <col min="1810" max="1818" width="9" style="323" customWidth="1"/>
    <col min="1819" max="1819" width="7.1640625" style="323" bestFit="1" customWidth="1"/>
    <col min="1820" max="1821" width="9" style="323" customWidth="1"/>
    <col min="1822" max="1826" width="10.33203125" style="323" customWidth="1"/>
    <col min="1827" max="2048" width="9" style="323" customWidth="1"/>
    <col min="2049" max="2049" width="60.33203125" style="323" customWidth="1"/>
    <col min="2050" max="2050" width="2.83203125" style="323" customWidth="1"/>
    <col min="2051" max="2051" width="14.83203125" style="323" customWidth="1"/>
    <col min="2052" max="2052" width="13.83203125" style="323" bestFit="1" customWidth="1"/>
    <col min="2053" max="2053" width="15.33203125" style="323" customWidth="1"/>
    <col min="2054" max="2054" width="14.1640625" style="323" customWidth="1"/>
    <col min="2055" max="2055" width="15.1640625" style="323" customWidth="1"/>
    <col min="2056" max="2056" width="13.33203125" style="323" customWidth="1"/>
    <col min="2057" max="2057" width="17.33203125" style="323" customWidth="1"/>
    <col min="2058" max="2058" width="15.1640625" style="323" customWidth="1"/>
    <col min="2059" max="2059" width="19.6640625" style="323" customWidth="1"/>
    <col min="2060" max="2062" width="16" style="323" customWidth="1"/>
    <col min="2063" max="2063" width="14.83203125" style="323" customWidth="1"/>
    <col min="2064" max="2064" width="17.33203125" style="323" customWidth="1"/>
    <col min="2065" max="2065" width="14.83203125" style="323" customWidth="1"/>
    <col min="2066" max="2074" width="9" style="323" customWidth="1"/>
    <col min="2075" max="2075" width="7.1640625" style="323" bestFit="1" customWidth="1"/>
    <col min="2076" max="2077" width="9" style="323" customWidth="1"/>
    <col min="2078" max="2082" width="10.33203125" style="323" customWidth="1"/>
    <col min="2083" max="2304" width="9" style="323" customWidth="1"/>
    <col min="2305" max="2305" width="60.33203125" style="323" customWidth="1"/>
    <col min="2306" max="2306" width="2.83203125" style="323" customWidth="1"/>
    <col min="2307" max="2307" width="14.83203125" style="323" customWidth="1"/>
    <col min="2308" max="2308" width="13.83203125" style="323" bestFit="1" customWidth="1"/>
    <col min="2309" max="2309" width="15.33203125" style="323" customWidth="1"/>
    <col min="2310" max="2310" width="14.1640625" style="323" customWidth="1"/>
    <col min="2311" max="2311" width="15.1640625" style="323" customWidth="1"/>
    <col min="2312" max="2312" width="13.33203125" style="323" customWidth="1"/>
    <col min="2313" max="2313" width="17.33203125" style="323" customWidth="1"/>
    <col min="2314" max="2314" width="15.1640625" style="323" customWidth="1"/>
    <col min="2315" max="2315" width="19.6640625" style="323" customWidth="1"/>
    <col min="2316" max="2318" width="16" style="323" customWidth="1"/>
    <col min="2319" max="2319" width="14.83203125" style="323" customWidth="1"/>
    <col min="2320" max="2320" width="17.33203125" style="323" customWidth="1"/>
    <col min="2321" max="2321" width="14.83203125" style="323" customWidth="1"/>
    <col min="2322" max="2330" width="9" style="323" customWidth="1"/>
    <col min="2331" max="2331" width="7.1640625" style="323" bestFit="1" customWidth="1"/>
    <col min="2332" max="2333" width="9" style="323" customWidth="1"/>
    <col min="2334" max="2338" width="10.33203125" style="323" customWidth="1"/>
    <col min="2339" max="2560" width="9" style="323" customWidth="1"/>
    <col min="2561" max="2561" width="60.33203125" style="323" customWidth="1"/>
    <col min="2562" max="2562" width="2.83203125" style="323" customWidth="1"/>
    <col min="2563" max="2563" width="14.83203125" style="323" customWidth="1"/>
    <col min="2564" max="2564" width="13.83203125" style="323" bestFit="1" customWidth="1"/>
    <col min="2565" max="2565" width="15.33203125" style="323" customWidth="1"/>
    <col min="2566" max="2566" width="14.1640625" style="323" customWidth="1"/>
    <col min="2567" max="2567" width="15.1640625" style="323" customWidth="1"/>
    <col min="2568" max="2568" width="13.33203125" style="323" customWidth="1"/>
    <col min="2569" max="2569" width="17.33203125" style="323" customWidth="1"/>
    <col min="2570" max="2570" width="15.1640625" style="323" customWidth="1"/>
    <col min="2571" max="2571" width="19.6640625" style="323" customWidth="1"/>
    <col min="2572" max="2574" width="16" style="323" customWidth="1"/>
    <col min="2575" max="2575" width="14.83203125" style="323" customWidth="1"/>
    <col min="2576" max="2576" width="17.33203125" style="323" customWidth="1"/>
    <col min="2577" max="2577" width="14.83203125" style="323" customWidth="1"/>
    <col min="2578" max="2586" width="9" style="323" customWidth="1"/>
    <col min="2587" max="2587" width="7.1640625" style="323" bestFit="1" customWidth="1"/>
    <col min="2588" max="2589" width="9" style="323" customWidth="1"/>
    <col min="2590" max="2594" width="10.33203125" style="323" customWidth="1"/>
    <col min="2595" max="2816" width="9" style="323" customWidth="1"/>
    <col min="2817" max="2817" width="60.33203125" style="323" customWidth="1"/>
    <col min="2818" max="2818" width="2.83203125" style="323" customWidth="1"/>
    <col min="2819" max="2819" width="14.83203125" style="323" customWidth="1"/>
    <col min="2820" max="2820" width="13.83203125" style="323" bestFit="1" customWidth="1"/>
    <col min="2821" max="2821" width="15.33203125" style="323" customWidth="1"/>
    <col min="2822" max="2822" width="14.1640625" style="323" customWidth="1"/>
    <col min="2823" max="2823" width="15.1640625" style="323" customWidth="1"/>
    <col min="2824" max="2824" width="13.33203125" style="323" customWidth="1"/>
    <col min="2825" max="2825" width="17.33203125" style="323" customWidth="1"/>
    <col min="2826" max="2826" width="15.1640625" style="323" customWidth="1"/>
    <col min="2827" max="2827" width="19.6640625" style="323" customWidth="1"/>
    <col min="2828" max="2830" width="16" style="323" customWidth="1"/>
    <col min="2831" max="2831" width="14.83203125" style="323" customWidth="1"/>
    <col min="2832" max="2832" width="17.33203125" style="323" customWidth="1"/>
    <col min="2833" max="2833" width="14.83203125" style="323" customWidth="1"/>
    <col min="2834" max="2842" width="9" style="323" customWidth="1"/>
    <col min="2843" max="2843" width="7.1640625" style="323" bestFit="1" customWidth="1"/>
    <col min="2844" max="2845" width="9" style="323" customWidth="1"/>
    <col min="2846" max="2850" width="10.33203125" style="323" customWidth="1"/>
    <col min="2851" max="3072" width="9" style="323" customWidth="1"/>
    <col min="3073" max="3073" width="60.33203125" style="323" customWidth="1"/>
    <col min="3074" max="3074" width="2.83203125" style="323" customWidth="1"/>
    <col min="3075" max="3075" width="14.83203125" style="323" customWidth="1"/>
    <col min="3076" max="3076" width="13.83203125" style="323" bestFit="1" customWidth="1"/>
    <col min="3077" max="3077" width="15.33203125" style="323" customWidth="1"/>
    <col min="3078" max="3078" width="14.1640625" style="323" customWidth="1"/>
    <col min="3079" max="3079" width="15.1640625" style="323" customWidth="1"/>
    <col min="3080" max="3080" width="13.33203125" style="323" customWidth="1"/>
    <col min="3081" max="3081" width="17.33203125" style="323" customWidth="1"/>
    <col min="3082" max="3082" width="15.1640625" style="323" customWidth="1"/>
    <col min="3083" max="3083" width="19.6640625" style="323" customWidth="1"/>
    <col min="3084" max="3086" width="16" style="323" customWidth="1"/>
    <col min="3087" max="3087" width="14.83203125" style="323" customWidth="1"/>
    <col min="3088" max="3088" width="17.33203125" style="323" customWidth="1"/>
    <col min="3089" max="3089" width="14.83203125" style="323" customWidth="1"/>
    <col min="3090" max="3098" width="9" style="323" customWidth="1"/>
    <col min="3099" max="3099" width="7.1640625" style="323" bestFit="1" customWidth="1"/>
    <col min="3100" max="3101" width="9" style="323" customWidth="1"/>
    <col min="3102" max="3106" width="10.33203125" style="323" customWidth="1"/>
    <col min="3107" max="3328" width="9" style="323" customWidth="1"/>
    <col min="3329" max="3329" width="60.33203125" style="323" customWidth="1"/>
    <col min="3330" max="3330" width="2.83203125" style="323" customWidth="1"/>
    <col min="3331" max="3331" width="14.83203125" style="323" customWidth="1"/>
    <col min="3332" max="3332" width="13.83203125" style="323" bestFit="1" customWidth="1"/>
    <col min="3333" max="3333" width="15.33203125" style="323" customWidth="1"/>
    <col min="3334" max="3334" width="14.1640625" style="323" customWidth="1"/>
    <col min="3335" max="3335" width="15.1640625" style="323" customWidth="1"/>
    <col min="3336" max="3336" width="13.33203125" style="323" customWidth="1"/>
    <col min="3337" max="3337" width="17.33203125" style="323" customWidth="1"/>
    <col min="3338" max="3338" width="15.1640625" style="323" customWidth="1"/>
    <col min="3339" max="3339" width="19.6640625" style="323" customWidth="1"/>
    <col min="3340" max="3342" width="16" style="323" customWidth="1"/>
    <col min="3343" max="3343" width="14.83203125" style="323" customWidth="1"/>
    <col min="3344" max="3344" width="17.33203125" style="323" customWidth="1"/>
    <col min="3345" max="3345" width="14.83203125" style="323" customWidth="1"/>
    <col min="3346" max="3354" width="9" style="323" customWidth="1"/>
    <col min="3355" max="3355" width="7.1640625" style="323" bestFit="1" customWidth="1"/>
    <col min="3356" max="3357" width="9" style="323" customWidth="1"/>
    <col min="3358" max="3362" width="10.33203125" style="323" customWidth="1"/>
    <col min="3363" max="3584" width="9" style="323" customWidth="1"/>
    <col min="3585" max="3585" width="60.33203125" style="323" customWidth="1"/>
    <col min="3586" max="3586" width="2.83203125" style="323" customWidth="1"/>
    <col min="3587" max="3587" width="14.83203125" style="323" customWidth="1"/>
    <col min="3588" max="3588" width="13.83203125" style="323" bestFit="1" customWidth="1"/>
    <col min="3589" max="3589" width="15.33203125" style="323" customWidth="1"/>
    <col min="3590" max="3590" width="14.1640625" style="323" customWidth="1"/>
    <col min="3591" max="3591" width="15.1640625" style="323" customWidth="1"/>
    <col min="3592" max="3592" width="13.33203125" style="323" customWidth="1"/>
    <col min="3593" max="3593" width="17.33203125" style="323" customWidth="1"/>
    <col min="3594" max="3594" width="15.1640625" style="323" customWidth="1"/>
    <col min="3595" max="3595" width="19.6640625" style="323" customWidth="1"/>
    <col min="3596" max="3598" width="16" style="323" customWidth="1"/>
    <col min="3599" max="3599" width="14.83203125" style="323" customWidth="1"/>
    <col min="3600" max="3600" width="17.33203125" style="323" customWidth="1"/>
    <col min="3601" max="3601" width="14.83203125" style="323" customWidth="1"/>
    <col min="3602" max="3610" width="9" style="323" customWidth="1"/>
    <col min="3611" max="3611" width="7.1640625" style="323" bestFit="1" customWidth="1"/>
    <col min="3612" max="3613" width="9" style="323" customWidth="1"/>
    <col min="3614" max="3618" width="10.33203125" style="323" customWidth="1"/>
    <col min="3619" max="3840" width="9" style="323" customWidth="1"/>
    <col min="3841" max="3841" width="60.33203125" style="323" customWidth="1"/>
    <col min="3842" max="3842" width="2.83203125" style="323" customWidth="1"/>
    <col min="3843" max="3843" width="14.83203125" style="323" customWidth="1"/>
    <col min="3844" max="3844" width="13.83203125" style="323" bestFit="1" customWidth="1"/>
    <col min="3845" max="3845" width="15.33203125" style="323" customWidth="1"/>
    <col min="3846" max="3846" width="14.1640625" style="323" customWidth="1"/>
    <col min="3847" max="3847" width="15.1640625" style="323" customWidth="1"/>
    <col min="3848" max="3848" width="13.33203125" style="323" customWidth="1"/>
    <col min="3849" max="3849" width="17.33203125" style="323" customWidth="1"/>
    <col min="3850" max="3850" width="15.1640625" style="323" customWidth="1"/>
    <col min="3851" max="3851" width="19.6640625" style="323" customWidth="1"/>
    <col min="3852" max="3854" width="16" style="323" customWidth="1"/>
    <col min="3855" max="3855" width="14.83203125" style="323" customWidth="1"/>
    <col min="3856" max="3856" width="17.33203125" style="323" customWidth="1"/>
    <col min="3857" max="3857" width="14.83203125" style="323" customWidth="1"/>
    <col min="3858" max="3866" width="9" style="323" customWidth="1"/>
    <col min="3867" max="3867" width="7.1640625" style="323" bestFit="1" customWidth="1"/>
    <col min="3868" max="3869" width="9" style="323" customWidth="1"/>
    <col min="3870" max="3874" width="10.33203125" style="323" customWidth="1"/>
    <col min="3875" max="4096" width="9" style="323" customWidth="1"/>
    <col min="4097" max="4097" width="60.33203125" style="323" customWidth="1"/>
    <col min="4098" max="4098" width="2.83203125" style="323" customWidth="1"/>
    <col min="4099" max="4099" width="14.83203125" style="323" customWidth="1"/>
    <col min="4100" max="4100" width="13.83203125" style="323" bestFit="1" customWidth="1"/>
    <col min="4101" max="4101" width="15.33203125" style="323" customWidth="1"/>
    <col min="4102" max="4102" width="14.1640625" style="323" customWidth="1"/>
    <col min="4103" max="4103" width="15.1640625" style="323" customWidth="1"/>
    <col min="4104" max="4104" width="13.33203125" style="323" customWidth="1"/>
    <col min="4105" max="4105" width="17.33203125" style="323" customWidth="1"/>
    <col min="4106" max="4106" width="15.1640625" style="323" customWidth="1"/>
    <col min="4107" max="4107" width="19.6640625" style="323" customWidth="1"/>
    <col min="4108" max="4110" width="16" style="323" customWidth="1"/>
    <col min="4111" max="4111" width="14.83203125" style="323" customWidth="1"/>
    <col min="4112" max="4112" width="17.33203125" style="323" customWidth="1"/>
    <col min="4113" max="4113" width="14.83203125" style="323" customWidth="1"/>
    <col min="4114" max="4122" width="9" style="323" customWidth="1"/>
    <col min="4123" max="4123" width="7.1640625" style="323" bestFit="1" customWidth="1"/>
    <col min="4124" max="4125" width="9" style="323" customWidth="1"/>
    <col min="4126" max="4130" width="10.33203125" style="323" customWidth="1"/>
    <col min="4131" max="4352" width="9" style="323" customWidth="1"/>
    <col min="4353" max="4353" width="60.33203125" style="323" customWidth="1"/>
    <col min="4354" max="4354" width="2.83203125" style="323" customWidth="1"/>
    <col min="4355" max="4355" width="14.83203125" style="323" customWidth="1"/>
    <col min="4356" max="4356" width="13.83203125" style="323" bestFit="1" customWidth="1"/>
    <col min="4357" max="4357" width="15.33203125" style="323" customWidth="1"/>
    <col min="4358" max="4358" width="14.1640625" style="323" customWidth="1"/>
    <col min="4359" max="4359" width="15.1640625" style="323" customWidth="1"/>
    <col min="4360" max="4360" width="13.33203125" style="323" customWidth="1"/>
    <col min="4361" max="4361" width="17.33203125" style="323" customWidth="1"/>
    <col min="4362" max="4362" width="15.1640625" style="323" customWidth="1"/>
    <col min="4363" max="4363" width="19.6640625" style="323" customWidth="1"/>
    <col min="4364" max="4366" width="16" style="323" customWidth="1"/>
    <col min="4367" max="4367" width="14.83203125" style="323" customWidth="1"/>
    <col min="4368" max="4368" width="17.33203125" style="323" customWidth="1"/>
    <col min="4369" max="4369" width="14.83203125" style="323" customWidth="1"/>
    <col min="4370" max="4378" width="9" style="323" customWidth="1"/>
    <col min="4379" max="4379" width="7.1640625" style="323" bestFit="1" customWidth="1"/>
    <col min="4380" max="4381" width="9" style="323" customWidth="1"/>
    <col min="4382" max="4386" width="10.33203125" style="323" customWidth="1"/>
    <col min="4387" max="4608" width="9" style="323" customWidth="1"/>
    <col min="4609" max="4609" width="60.33203125" style="323" customWidth="1"/>
    <col min="4610" max="4610" width="2.83203125" style="323" customWidth="1"/>
    <col min="4611" max="4611" width="14.83203125" style="323" customWidth="1"/>
    <col min="4612" max="4612" width="13.83203125" style="323" bestFit="1" customWidth="1"/>
    <col min="4613" max="4613" width="15.33203125" style="323" customWidth="1"/>
    <col min="4614" max="4614" width="14.1640625" style="323" customWidth="1"/>
    <col min="4615" max="4615" width="15.1640625" style="323" customWidth="1"/>
    <col min="4616" max="4616" width="13.33203125" style="323" customWidth="1"/>
    <col min="4617" max="4617" width="17.33203125" style="323" customWidth="1"/>
    <col min="4618" max="4618" width="15.1640625" style="323" customWidth="1"/>
    <col min="4619" max="4619" width="19.6640625" style="323" customWidth="1"/>
    <col min="4620" max="4622" width="16" style="323" customWidth="1"/>
    <col min="4623" max="4623" width="14.83203125" style="323" customWidth="1"/>
    <col min="4624" max="4624" width="17.33203125" style="323" customWidth="1"/>
    <col min="4625" max="4625" width="14.83203125" style="323" customWidth="1"/>
    <col min="4626" max="4634" width="9" style="323" customWidth="1"/>
    <col min="4635" max="4635" width="7.1640625" style="323" bestFit="1" customWidth="1"/>
    <col min="4636" max="4637" width="9" style="323" customWidth="1"/>
    <col min="4638" max="4642" width="10.33203125" style="323" customWidth="1"/>
    <col min="4643" max="4864" width="9" style="323" customWidth="1"/>
    <col min="4865" max="4865" width="60.33203125" style="323" customWidth="1"/>
    <col min="4866" max="4866" width="2.83203125" style="323" customWidth="1"/>
    <col min="4867" max="4867" width="14.83203125" style="323" customWidth="1"/>
    <col min="4868" max="4868" width="13.83203125" style="323" bestFit="1" customWidth="1"/>
    <col min="4869" max="4869" width="15.33203125" style="323" customWidth="1"/>
    <col min="4870" max="4870" width="14.1640625" style="323" customWidth="1"/>
    <col min="4871" max="4871" width="15.1640625" style="323" customWidth="1"/>
    <col min="4872" max="4872" width="13.33203125" style="323" customWidth="1"/>
    <col min="4873" max="4873" width="17.33203125" style="323" customWidth="1"/>
    <col min="4874" max="4874" width="15.1640625" style="323" customWidth="1"/>
    <col min="4875" max="4875" width="19.6640625" style="323" customWidth="1"/>
    <col min="4876" max="4878" width="16" style="323" customWidth="1"/>
    <col min="4879" max="4879" width="14.83203125" style="323" customWidth="1"/>
    <col min="4880" max="4880" width="17.33203125" style="323" customWidth="1"/>
    <col min="4881" max="4881" width="14.83203125" style="323" customWidth="1"/>
    <col min="4882" max="4890" width="9" style="323" customWidth="1"/>
    <col min="4891" max="4891" width="7.1640625" style="323" bestFit="1" customWidth="1"/>
    <col min="4892" max="4893" width="9" style="323" customWidth="1"/>
    <col min="4894" max="4898" width="10.33203125" style="323" customWidth="1"/>
    <col min="4899" max="5120" width="9" style="323" customWidth="1"/>
    <col min="5121" max="5121" width="60.33203125" style="323" customWidth="1"/>
    <col min="5122" max="5122" width="2.83203125" style="323" customWidth="1"/>
    <col min="5123" max="5123" width="14.83203125" style="323" customWidth="1"/>
    <col min="5124" max="5124" width="13.83203125" style="323" bestFit="1" customWidth="1"/>
    <col min="5125" max="5125" width="15.33203125" style="323" customWidth="1"/>
    <col min="5126" max="5126" width="14.1640625" style="323" customWidth="1"/>
    <col min="5127" max="5127" width="15.1640625" style="323" customWidth="1"/>
    <col min="5128" max="5128" width="13.33203125" style="323" customWidth="1"/>
    <col min="5129" max="5129" width="17.33203125" style="323" customWidth="1"/>
    <col min="5130" max="5130" width="15.1640625" style="323" customWidth="1"/>
    <col min="5131" max="5131" width="19.6640625" style="323" customWidth="1"/>
    <col min="5132" max="5134" width="16" style="323" customWidth="1"/>
    <col min="5135" max="5135" width="14.83203125" style="323" customWidth="1"/>
    <col min="5136" max="5136" width="17.33203125" style="323" customWidth="1"/>
    <col min="5137" max="5137" width="14.83203125" style="323" customWidth="1"/>
    <col min="5138" max="5146" width="9" style="323" customWidth="1"/>
    <col min="5147" max="5147" width="7.1640625" style="323" bestFit="1" customWidth="1"/>
    <col min="5148" max="5149" width="9" style="323" customWidth="1"/>
    <col min="5150" max="5154" width="10.33203125" style="323" customWidth="1"/>
    <col min="5155" max="5376" width="9" style="323" customWidth="1"/>
    <col min="5377" max="5377" width="60.33203125" style="323" customWidth="1"/>
    <col min="5378" max="5378" width="2.83203125" style="323" customWidth="1"/>
    <col min="5379" max="5379" width="14.83203125" style="323" customWidth="1"/>
    <col min="5380" max="5380" width="13.83203125" style="323" bestFit="1" customWidth="1"/>
    <col min="5381" max="5381" width="15.33203125" style="323" customWidth="1"/>
    <col min="5382" max="5382" width="14.1640625" style="323" customWidth="1"/>
    <col min="5383" max="5383" width="15.1640625" style="323" customWidth="1"/>
    <col min="5384" max="5384" width="13.33203125" style="323" customWidth="1"/>
    <col min="5385" max="5385" width="17.33203125" style="323" customWidth="1"/>
    <col min="5386" max="5386" width="15.1640625" style="323" customWidth="1"/>
    <col min="5387" max="5387" width="19.6640625" style="323" customWidth="1"/>
    <col min="5388" max="5390" width="16" style="323" customWidth="1"/>
    <col min="5391" max="5391" width="14.83203125" style="323" customWidth="1"/>
    <col min="5392" max="5392" width="17.33203125" style="323" customWidth="1"/>
    <col min="5393" max="5393" width="14.83203125" style="323" customWidth="1"/>
    <col min="5394" max="5402" width="9" style="323" customWidth="1"/>
    <col min="5403" max="5403" width="7.1640625" style="323" bestFit="1" customWidth="1"/>
    <col min="5404" max="5405" width="9" style="323" customWidth="1"/>
    <col min="5406" max="5410" width="10.33203125" style="323" customWidth="1"/>
    <col min="5411" max="5632" width="9" style="323" customWidth="1"/>
    <col min="5633" max="5633" width="60.33203125" style="323" customWidth="1"/>
    <col min="5634" max="5634" width="2.83203125" style="323" customWidth="1"/>
    <col min="5635" max="5635" width="14.83203125" style="323" customWidth="1"/>
    <col min="5636" max="5636" width="13.83203125" style="323" bestFit="1" customWidth="1"/>
    <col min="5637" max="5637" width="15.33203125" style="323" customWidth="1"/>
    <col min="5638" max="5638" width="14.1640625" style="323" customWidth="1"/>
    <col min="5639" max="5639" width="15.1640625" style="323" customWidth="1"/>
    <col min="5640" max="5640" width="13.33203125" style="323" customWidth="1"/>
    <col min="5641" max="5641" width="17.33203125" style="323" customWidth="1"/>
    <col min="5642" max="5642" width="15.1640625" style="323" customWidth="1"/>
    <col min="5643" max="5643" width="19.6640625" style="323" customWidth="1"/>
    <col min="5644" max="5646" width="16" style="323" customWidth="1"/>
    <col min="5647" max="5647" width="14.83203125" style="323" customWidth="1"/>
    <col min="5648" max="5648" width="17.33203125" style="323" customWidth="1"/>
    <col min="5649" max="5649" width="14.83203125" style="323" customWidth="1"/>
    <col min="5650" max="5658" width="9" style="323" customWidth="1"/>
    <col min="5659" max="5659" width="7.1640625" style="323" bestFit="1" customWidth="1"/>
    <col min="5660" max="5661" width="9" style="323" customWidth="1"/>
    <col min="5662" max="5666" width="10.33203125" style="323" customWidth="1"/>
    <col min="5667" max="5888" width="9" style="323" customWidth="1"/>
    <col min="5889" max="5889" width="60.33203125" style="323" customWidth="1"/>
    <col min="5890" max="5890" width="2.83203125" style="323" customWidth="1"/>
    <col min="5891" max="5891" width="14.83203125" style="323" customWidth="1"/>
    <col min="5892" max="5892" width="13.83203125" style="323" bestFit="1" customWidth="1"/>
    <col min="5893" max="5893" width="15.33203125" style="323" customWidth="1"/>
    <col min="5894" max="5894" width="14.1640625" style="323" customWidth="1"/>
    <col min="5895" max="5895" width="15.1640625" style="323" customWidth="1"/>
    <col min="5896" max="5896" width="13.33203125" style="323" customWidth="1"/>
    <col min="5897" max="5897" width="17.33203125" style="323" customWidth="1"/>
    <col min="5898" max="5898" width="15.1640625" style="323" customWidth="1"/>
    <col min="5899" max="5899" width="19.6640625" style="323" customWidth="1"/>
    <col min="5900" max="5902" width="16" style="323" customWidth="1"/>
    <col min="5903" max="5903" width="14.83203125" style="323" customWidth="1"/>
    <col min="5904" max="5904" width="17.33203125" style="323" customWidth="1"/>
    <col min="5905" max="5905" width="14.83203125" style="323" customWidth="1"/>
    <col min="5906" max="5914" width="9" style="323" customWidth="1"/>
    <col min="5915" max="5915" width="7.1640625" style="323" bestFit="1" customWidth="1"/>
    <col min="5916" max="5917" width="9" style="323" customWidth="1"/>
    <col min="5918" max="5922" width="10.33203125" style="323" customWidth="1"/>
    <col min="5923" max="6144" width="9" style="323" customWidth="1"/>
    <col min="6145" max="6145" width="60.33203125" style="323" customWidth="1"/>
    <col min="6146" max="6146" width="2.83203125" style="323" customWidth="1"/>
    <col min="6147" max="6147" width="14.83203125" style="323" customWidth="1"/>
    <col min="6148" max="6148" width="13.83203125" style="323" bestFit="1" customWidth="1"/>
    <col min="6149" max="6149" width="15.33203125" style="323" customWidth="1"/>
    <col min="6150" max="6150" width="14.1640625" style="323" customWidth="1"/>
    <col min="6151" max="6151" width="15.1640625" style="323" customWidth="1"/>
    <col min="6152" max="6152" width="13.33203125" style="323" customWidth="1"/>
    <col min="6153" max="6153" width="17.33203125" style="323" customWidth="1"/>
    <col min="6154" max="6154" width="15.1640625" style="323" customWidth="1"/>
    <col min="6155" max="6155" width="19.6640625" style="323" customWidth="1"/>
    <col min="6156" max="6158" width="16" style="323" customWidth="1"/>
    <col min="6159" max="6159" width="14.83203125" style="323" customWidth="1"/>
    <col min="6160" max="6160" width="17.33203125" style="323" customWidth="1"/>
    <col min="6161" max="6161" width="14.83203125" style="323" customWidth="1"/>
    <col min="6162" max="6170" width="9" style="323" customWidth="1"/>
    <col min="6171" max="6171" width="7.1640625" style="323" bestFit="1" customWidth="1"/>
    <col min="6172" max="6173" width="9" style="323" customWidth="1"/>
    <col min="6174" max="6178" width="10.33203125" style="323" customWidth="1"/>
    <col min="6179" max="6400" width="9" style="323" customWidth="1"/>
    <col min="6401" max="6401" width="60.33203125" style="323" customWidth="1"/>
    <col min="6402" max="6402" width="2.83203125" style="323" customWidth="1"/>
    <col min="6403" max="6403" width="14.83203125" style="323" customWidth="1"/>
    <col min="6404" max="6404" width="13.83203125" style="323" bestFit="1" customWidth="1"/>
    <col min="6405" max="6405" width="15.33203125" style="323" customWidth="1"/>
    <col min="6406" max="6406" width="14.1640625" style="323" customWidth="1"/>
    <col min="6407" max="6407" width="15.1640625" style="323" customWidth="1"/>
    <col min="6408" max="6408" width="13.33203125" style="323" customWidth="1"/>
    <col min="6409" max="6409" width="17.33203125" style="323" customWidth="1"/>
    <col min="6410" max="6410" width="15.1640625" style="323" customWidth="1"/>
    <col min="6411" max="6411" width="19.6640625" style="323" customWidth="1"/>
    <col min="6412" max="6414" width="16" style="323" customWidth="1"/>
    <col min="6415" max="6415" width="14.83203125" style="323" customWidth="1"/>
    <col min="6416" max="6416" width="17.33203125" style="323" customWidth="1"/>
    <col min="6417" max="6417" width="14.83203125" style="323" customWidth="1"/>
    <col min="6418" max="6426" width="9" style="323" customWidth="1"/>
    <col min="6427" max="6427" width="7.1640625" style="323" bestFit="1" customWidth="1"/>
    <col min="6428" max="6429" width="9" style="323" customWidth="1"/>
    <col min="6430" max="6434" width="10.33203125" style="323" customWidth="1"/>
    <col min="6435" max="6656" width="9" style="323" customWidth="1"/>
    <col min="6657" max="6657" width="60.33203125" style="323" customWidth="1"/>
    <col min="6658" max="6658" width="2.83203125" style="323" customWidth="1"/>
    <col min="6659" max="6659" width="14.83203125" style="323" customWidth="1"/>
    <col min="6660" max="6660" width="13.83203125" style="323" bestFit="1" customWidth="1"/>
    <col min="6661" max="6661" width="15.33203125" style="323" customWidth="1"/>
    <col min="6662" max="6662" width="14.1640625" style="323" customWidth="1"/>
    <col min="6663" max="6663" width="15.1640625" style="323" customWidth="1"/>
    <col min="6664" max="6664" width="13.33203125" style="323" customWidth="1"/>
    <col min="6665" max="6665" width="17.33203125" style="323" customWidth="1"/>
    <col min="6666" max="6666" width="15.1640625" style="323" customWidth="1"/>
    <col min="6667" max="6667" width="19.6640625" style="323" customWidth="1"/>
    <col min="6668" max="6670" width="16" style="323" customWidth="1"/>
    <col min="6671" max="6671" width="14.83203125" style="323" customWidth="1"/>
    <col min="6672" max="6672" width="17.33203125" style="323" customWidth="1"/>
    <col min="6673" max="6673" width="14.83203125" style="323" customWidth="1"/>
    <col min="6674" max="6682" width="9" style="323" customWidth="1"/>
    <col min="6683" max="6683" width="7.1640625" style="323" bestFit="1" customWidth="1"/>
    <col min="6684" max="6685" width="9" style="323" customWidth="1"/>
    <col min="6686" max="6690" width="10.33203125" style="323" customWidth="1"/>
    <col min="6691" max="6912" width="9" style="323" customWidth="1"/>
    <col min="6913" max="6913" width="60.33203125" style="323" customWidth="1"/>
    <col min="6914" max="6914" width="2.83203125" style="323" customWidth="1"/>
    <col min="6915" max="6915" width="14.83203125" style="323" customWidth="1"/>
    <col min="6916" max="6916" width="13.83203125" style="323" bestFit="1" customWidth="1"/>
    <col min="6917" max="6917" width="15.33203125" style="323" customWidth="1"/>
    <col min="6918" max="6918" width="14.1640625" style="323" customWidth="1"/>
    <col min="6919" max="6919" width="15.1640625" style="323" customWidth="1"/>
    <col min="6920" max="6920" width="13.33203125" style="323" customWidth="1"/>
    <col min="6921" max="6921" width="17.33203125" style="323" customWidth="1"/>
    <col min="6922" max="6922" width="15.1640625" style="323" customWidth="1"/>
    <col min="6923" max="6923" width="19.6640625" style="323" customWidth="1"/>
    <col min="6924" max="6926" width="16" style="323" customWidth="1"/>
    <col min="6927" max="6927" width="14.83203125" style="323" customWidth="1"/>
    <col min="6928" max="6928" width="17.33203125" style="323" customWidth="1"/>
    <col min="6929" max="6929" width="14.83203125" style="323" customWidth="1"/>
    <col min="6930" max="6938" width="9" style="323" customWidth="1"/>
    <col min="6939" max="6939" width="7.1640625" style="323" bestFit="1" customWidth="1"/>
    <col min="6940" max="6941" width="9" style="323" customWidth="1"/>
    <col min="6942" max="6946" width="10.33203125" style="323" customWidth="1"/>
    <col min="6947" max="7168" width="9" style="323" customWidth="1"/>
    <col min="7169" max="7169" width="60.33203125" style="323" customWidth="1"/>
    <col min="7170" max="7170" width="2.83203125" style="323" customWidth="1"/>
    <col min="7171" max="7171" width="14.83203125" style="323" customWidth="1"/>
    <col min="7172" max="7172" width="13.83203125" style="323" bestFit="1" customWidth="1"/>
    <col min="7173" max="7173" width="15.33203125" style="323" customWidth="1"/>
    <col min="7174" max="7174" width="14.1640625" style="323" customWidth="1"/>
    <col min="7175" max="7175" width="15.1640625" style="323" customWidth="1"/>
    <col min="7176" max="7176" width="13.33203125" style="323" customWidth="1"/>
    <col min="7177" max="7177" width="17.33203125" style="323" customWidth="1"/>
    <col min="7178" max="7178" width="15.1640625" style="323" customWidth="1"/>
    <col min="7179" max="7179" width="19.6640625" style="323" customWidth="1"/>
    <col min="7180" max="7182" width="16" style="323" customWidth="1"/>
    <col min="7183" max="7183" width="14.83203125" style="323" customWidth="1"/>
    <col min="7184" max="7184" width="17.33203125" style="323" customWidth="1"/>
    <col min="7185" max="7185" width="14.83203125" style="323" customWidth="1"/>
    <col min="7186" max="7194" width="9" style="323" customWidth="1"/>
    <col min="7195" max="7195" width="7.1640625" style="323" bestFit="1" customWidth="1"/>
    <col min="7196" max="7197" width="9" style="323" customWidth="1"/>
    <col min="7198" max="7202" width="10.33203125" style="323" customWidth="1"/>
    <col min="7203" max="7424" width="9" style="323" customWidth="1"/>
    <col min="7425" max="7425" width="60.33203125" style="323" customWidth="1"/>
    <col min="7426" max="7426" width="2.83203125" style="323" customWidth="1"/>
    <col min="7427" max="7427" width="14.83203125" style="323" customWidth="1"/>
    <col min="7428" max="7428" width="13.83203125" style="323" bestFit="1" customWidth="1"/>
    <col min="7429" max="7429" width="15.33203125" style="323" customWidth="1"/>
    <col min="7430" max="7430" width="14.1640625" style="323" customWidth="1"/>
    <col min="7431" max="7431" width="15.1640625" style="323" customWidth="1"/>
    <col min="7432" max="7432" width="13.33203125" style="323" customWidth="1"/>
    <col min="7433" max="7433" width="17.33203125" style="323" customWidth="1"/>
    <col min="7434" max="7434" width="15.1640625" style="323" customWidth="1"/>
    <col min="7435" max="7435" width="19.6640625" style="323" customWidth="1"/>
    <col min="7436" max="7438" width="16" style="323" customWidth="1"/>
    <col min="7439" max="7439" width="14.83203125" style="323" customWidth="1"/>
    <col min="7440" max="7440" width="17.33203125" style="323" customWidth="1"/>
    <col min="7441" max="7441" width="14.83203125" style="323" customWidth="1"/>
    <col min="7442" max="7450" width="9" style="323" customWidth="1"/>
    <col min="7451" max="7451" width="7.1640625" style="323" bestFit="1" customWidth="1"/>
    <col min="7452" max="7453" width="9" style="323" customWidth="1"/>
    <col min="7454" max="7458" width="10.33203125" style="323" customWidth="1"/>
    <col min="7459" max="7680" width="9" style="323" customWidth="1"/>
    <col min="7681" max="7681" width="60.33203125" style="323" customWidth="1"/>
    <col min="7682" max="7682" width="2.83203125" style="323" customWidth="1"/>
    <col min="7683" max="7683" width="14.83203125" style="323" customWidth="1"/>
    <col min="7684" max="7684" width="13.83203125" style="323" bestFit="1" customWidth="1"/>
    <col min="7685" max="7685" width="15.33203125" style="323" customWidth="1"/>
    <col min="7686" max="7686" width="14.1640625" style="323" customWidth="1"/>
    <col min="7687" max="7687" width="15.1640625" style="323" customWidth="1"/>
    <col min="7688" max="7688" width="13.33203125" style="323" customWidth="1"/>
    <col min="7689" max="7689" width="17.33203125" style="323" customWidth="1"/>
    <col min="7690" max="7690" width="15.1640625" style="323" customWidth="1"/>
    <col min="7691" max="7691" width="19.6640625" style="323" customWidth="1"/>
    <col min="7692" max="7694" width="16" style="323" customWidth="1"/>
    <col min="7695" max="7695" width="14.83203125" style="323" customWidth="1"/>
    <col min="7696" max="7696" width="17.33203125" style="323" customWidth="1"/>
    <col min="7697" max="7697" width="14.83203125" style="323" customWidth="1"/>
    <col min="7698" max="7706" width="9" style="323" customWidth="1"/>
    <col min="7707" max="7707" width="7.1640625" style="323" bestFit="1" customWidth="1"/>
    <col min="7708" max="7709" width="9" style="323" customWidth="1"/>
    <col min="7710" max="7714" width="10.33203125" style="323" customWidth="1"/>
    <col min="7715" max="7936" width="9" style="323" customWidth="1"/>
    <col min="7937" max="7937" width="60.33203125" style="323" customWidth="1"/>
    <col min="7938" max="7938" width="2.83203125" style="323" customWidth="1"/>
    <col min="7939" max="7939" width="14.83203125" style="323" customWidth="1"/>
    <col min="7940" max="7940" width="13.83203125" style="323" bestFit="1" customWidth="1"/>
    <col min="7941" max="7941" width="15.33203125" style="323" customWidth="1"/>
    <col min="7942" max="7942" width="14.1640625" style="323" customWidth="1"/>
    <col min="7943" max="7943" width="15.1640625" style="323" customWidth="1"/>
    <col min="7944" max="7944" width="13.33203125" style="323" customWidth="1"/>
    <col min="7945" max="7945" width="17.33203125" style="323" customWidth="1"/>
    <col min="7946" max="7946" width="15.1640625" style="323" customWidth="1"/>
    <col min="7947" max="7947" width="19.6640625" style="323" customWidth="1"/>
    <col min="7948" max="7950" width="16" style="323" customWidth="1"/>
    <col min="7951" max="7951" width="14.83203125" style="323" customWidth="1"/>
    <col min="7952" max="7952" width="17.33203125" style="323" customWidth="1"/>
    <col min="7953" max="7953" width="14.83203125" style="323" customWidth="1"/>
    <col min="7954" max="7962" width="9" style="323" customWidth="1"/>
    <col min="7963" max="7963" width="7.1640625" style="323" bestFit="1" customWidth="1"/>
    <col min="7964" max="7965" width="9" style="323" customWidth="1"/>
    <col min="7966" max="7970" width="10.33203125" style="323" customWidth="1"/>
    <col min="7971" max="8192" width="9" style="323" customWidth="1"/>
    <col min="8193" max="8193" width="60.33203125" style="323" customWidth="1"/>
    <col min="8194" max="8194" width="2.83203125" style="323" customWidth="1"/>
    <col min="8195" max="8195" width="14.83203125" style="323" customWidth="1"/>
    <col min="8196" max="8196" width="13.83203125" style="323" bestFit="1" customWidth="1"/>
    <col min="8197" max="8197" width="15.33203125" style="323" customWidth="1"/>
    <col min="8198" max="8198" width="14.1640625" style="323" customWidth="1"/>
    <col min="8199" max="8199" width="15.1640625" style="323" customWidth="1"/>
    <col min="8200" max="8200" width="13.33203125" style="323" customWidth="1"/>
    <col min="8201" max="8201" width="17.33203125" style="323" customWidth="1"/>
    <col min="8202" max="8202" width="15.1640625" style="323" customWidth="1"/>
    <col min="8203" max="8203" width="19.6640625" style="323" customWidth="1"/>
    <col min="8204" max="8206" width="16" style="323" customWidth="1"/>
    <col min="8207" max="8207" width="14.83203125" style="323" customWidth="1"/>
    <col min="8208" max="8208" width="17.33203125" style="323" customWidth="1"/>
    <col min="8209" max="8209" width="14.83203125" style="323" customWidth="1"/>
    <col min="8210" max="8218" width="9" style="323" customWidth="1"/>
    <col min="8219" max="8219" width="7.1640625" style="323" bestFit="1" customWidth="1"/>
    <col min="8220" max="8221" width="9" style="323" customWidth="1"/>
    <col min="8222" max="8226" width="10.33203125" style="323" customWidth="1"/>
    <col min="8227" max="8448" width="9" style="323" customWidth="1"/>
    <col min="8449" max="8449" width="60.33203125" style="323" customWidth="1"/>
    <col min="8450" max="8450" width="2.83203125" style="323" customWidth="1"/>
    <col min="8451" max="8451" width="14.83203125" style="323" customWidth="1"/>
    <col min="8452" max="8452" width="13.83203125" style="323" bestFit="1" customWidth="1"/>
    <col min="8453" max="8453" width="15.33203125" style="323" customWidth="1"/>
    <col min="8454" max="8454" width="14.1640625" style="323" customWidth="1"/>
    <col min="8455" max="8455" width="15.1640625" style="323" customWidth="1"/>
    <col min="8456" max="8456" width="13.33203125" style="323" customWidth="1"/>
    <col min="8457" max="8457" width="17.33203125" style="323" customWidth="1"/>
    <col min="8458" max="8458" width="15.1640625" style="323" customWidth="1"/>
    <col min="8459" max="8459" width="19.6640625" style="323" customWidth="1"/>
    <col min="8460" max="8462" width="16" style="323" customWidth="1"/>
    <col min="8463" max="8463" width="14.83203125" style="323" customWidth="1"/>
    <col min="8464" max="8464" width="17.33203125" style="323" customWidth="1"/>
    <col min="8465" max="8465" width="14.83203125" style="323" customWidth="1"/>
    <col min="8466" max="8474" width="9" style="323" customWidth="1"/>
    <col min="8475" max="8475" width="7.1640625" style="323" bestFit="1" customWidth="1"/>
    <col min="8476" max="8477" width="9" style="323" customWidth="1"/>
    <col min="8478" max="8482" width="10.33203125" style="323" customWidth="1"/>
    <col min="8483" max="8704" width="9" style="323" customWidth="1"/>
    <col min="8705" max="8705" width="60.33203125" style="323" customWidth="1"/>
    <col min="8706" max="8706" width="2.83203125" style="323" customWidth="1"/>
    <col min="8707" max="8707" width="14.83203125" style="323" customWidth="1"/>
    <col min="8708" max="8708" width="13.83203125" style="323" bestFit="1" customWidth="1"/>
    <col min="8709" max="8709" width="15.33203125" style="323" customWidth="1"/>
    <col min="8710" max="8710" width="14.1640625" style="323" customWidth="1"/>
    <col min="8711" max="8711" width="15.1640625" style="323" customWidth="1"/>
    <col min="8712" max="8712" width="13.33203125" style="323" customWidth="1"/>
    <col min="8713" max="8713" width="17.33203125" style="323" customWidth="1"/>
    <col min="8714" max="8714" width="15.1640625" style="323" customWidth="1"/>
    <col min="8715" max="8715" width="19.6640625" style="323" customWidth="1"/>
    <col min="8716" max="8718" width="16" style="323" customWidth="1"/>
    <col min="8719" max="8719" width="14.83203125" style="323" customWidth="1"/>
    <col min="8720" max="8720" width="17.33203125" style="323" customWidth="1"/>
    <col min="8721" max="8721" width="14.83203125" style="323" customWidth="1"/>
    <col min="8722" max="8730" width="9" style="323" customWidth="1"/>
    <col min="8731" max="8731" width="7.1640625" style="323" bestFit="1" customWidth="1"/>
    <col min="8732" max="8733" width="9" style="323" customWidth="1"/>
    <col min="8734" max="8738" width="10.33203125" style="323" customWidth="1"/>
    <col min="8739" max="8960" width="9" style="323" customWidth="1"/>
    <col min="8961" max="8961" width="60.33203125" style="323" customWidth="1"/>
    <col min="8962" max="8962" width="2.83203125" style="323" customWidth="1"/>
    <col min="8963" max="8963" width="14.83203125" style="323" customWidth="1"/>
    <col min="8964" max="8964" width="13.83203125" style="323" bestFit="1" customWidth="1"/>
    <col min="8965" max="8965" width="15.33203125" style="323" customWidth="1"/>
    <col min="8966" max="8966" width="14.1640625" style="323" customWidth="1"/>
    <col min="8967" max="8967" width="15.1640625" style="323" customWidth="1"/>
    <col min="8968" max="8968" width="13.33203125" style="323" customWidth="1"/>
    <col min="8969" max="8969" width="17.33203125" style="323" customWidth="1"/>
    <col min="8970" max="8970" width="15.1640625" style="323" customWidth="1"/>
    <col min="8971" max="8971" width="19.6640625" style="323" customWidth="1"/>
    <col min="8972" max="8974" width="16" style="323" customWidth="1"/>
    <col min="8975" max="8975" width="14.83203125" style="323" customWidth="1"/>
    <col min="8976" max="8976" width="17.33203125" style="323" customWidth="1"/>
    <col min="8977" max="8977" width="14.83203125" style="323" customWidth="1"/>
    <col min="8978" max="8986" width="9" style="323" customWidth="1"/>
    <col min="8987" max="8987" width="7.1640625" style="323" bestFit="1" customWidth="1"/>
    <col min="8988" max="8989" width="9" style="323" customWidth="1"/>
    <col min="8990" max="8994" width="10.33203125" style="323" customWidth="1"/>
    <col min="8995" max="9216" width="9" style="323" customWidth="1"/>
    <col min="9217" max="9217" width="60.33203125" style="323" customWidth="1"/>
    <col min="9218" max="9218" width="2.83203125" style="323" customWidth="1"/>
    <col min="9219" max="9219" width="14.83203125" style="323" customWidth="1"/>
    <col min="9220" max="9220" width="13.83203125" style="323" bestFit="1" customWidth="1"/>
    <col min="9221" max="9221" width="15.33203125" style="323" customWidth="1"/>
    <col min="9222" max="9222" width="14.1640625" style="323" customWidth="1"/>
    <col min="9223" max="9223" width="15.1640625" style="323" customWidth="1"/>
    <col min="9224" max="9224" width="13.33203125" style="323" customWidth="1"/>
    <col min="9225" max="9225" width="17.33203125" style="323" customWidth="1"/>
    <col min="9226" max="9226" width="15.1640625" style="323" customWidth="1"/>
    <col min="9227" max="9227" width="19.6640625" style="323" customWidth="1"/>
    <col min="9228" max="9230" width="16" style="323" customWidth="1"/>
    <col min="9231" max="9231" width="14.83203125" style="323" customWidth="1"/>
    <col min="9232" max="9232" width="17.33203125" style="323" customWidth="1"/>
    <col min="9233" max="9233" width="14.83203125" style="323" customWidth="1"/>
    <col min="9234" max="9242" width="9" style="323" customWidth="1"/>
    <col min="9243" max="9243" width="7.1640625" style="323" bestFit="1" customWidth="1"/>
    <col min="9244" max="9245" width="9" style="323" customWidth="1"/>
    <col min="9246" max="9250" width="10.33203125" style="323" customWidth="1"/>
    <col min="9251" max="9472" width="9" style="323" customWidth="1"/>
    <col min="9473" max="9473" width="60.33203125" style="323" customWidth="1"/>
    <col min="9474" max="9474" width="2.83203125" style="323" customWidth="1"/>
    <col min="9475" max="9475" width="14.83203125" style="323" customWidth="1"/>
    <col min="9476" max="9476" width="13.83203125" style="323" bestFit="1" customWidth="1"/>
    <col min="9477" max="9477" width="15.33203125" style="323" customWidth="1"/>
    <col min="9478" max="9478" width="14.1640625" style="323" customWidth="1"/>
    <col min="9479" max="9479" width="15.1640625" style="323" customWidth="1"/>
    <col min="9480" max="9480" width="13.33203125" style="323" customWidth="1"/>
    <col min="9481" max="9481" width="17.33203125" style="323" customWidth="1"/>
    <col min="9482" max="9482" width="15.1640625" style="323" customWidth="1"/>
    <col min="9483" max="9483" width="19.6640625" style="323" customWidth="1"/>
    <col min="9484" max="9486" width="16" style="323" customWidth="1"/>
    <col min="9487" max="9487" width="14.83203125" style="323" customWidth="1"/>
    <col min="9488" max="9488" width="17.33203125" style="323" customWidth="1"/>
    <col min="9489" max="9489" width="14.83203125" style="323" customWidth="1"/>
    <col min="9490" max="9498" width="9" style="323" customWidth="1"/>
    <col min="9499" max="9499" width="7.1640625" style="323" bestFit="1" customWidth="1"/>
    <col min="9500" max="9501" width="9" style="323" customWidth="1"/>
    <col min="9502" max="9506" width="10.33203125" style="323" customWidth="1"/>
    <col min="9507" max="9728" width="9" style="323" customWidth="1"/>
    <col min="9729" max="9729" width="60.33203125" style="323" customWidth="1"/>
    <col min="9730" max="9730" width="2.83203125" style="323" customWidth="1"/>
    <col min="9731" max="9731" width="14.83203125" style="323" customWidth="1"/>
    <col min="9732" max="9732" width="13.83203125" style="323" bestFit="1" customWidth="1"/>
    <col min="9733" max="9733" width="15.33203125" style="323" customWidth="1"/>
    <col min="9734" max="9734" width="14.1640625" style="323" customWidth="1"/>
    <col min="9735" max="9735" width="15.1640625" style="323" customWidth="1"/>
    <col min="9736" max="9736" width="13.33203125" style="323" customWidth="1"/>
    <col min="9737" max="9737" width="17.33203125" style="323" customWidth="1"/>
    <col min="9738" max="9738" width="15.1640625" style="323" customWidth="1"/>
    <col min="9739" max="9739" width="19.6640625" style="323" customWidth="1"/>
    <col min="9740" max="9742" width="16" style="323" customWidth="1"/>
    <col min="9743" max="9743" width="14.83203125" style="323" customWidth="1"/>
    <col min="9744" max="9744" width="17.33203125" style="323" customWidth="1"/>
    <col min="9745" max="9745" width="14.83203125" style="323" customWidth="1"/>
    <col min="9746" max="9754" width="9" style="323" customWidth="1"/>
    <col min="9755" max="9755" width="7.1640625" style="323" bestFit="1" customWidth="1"/>
    <col min="9756" max="9757" width="9" style="323" customWidth="1"/>
    <col min="9758" max="9762" width="10.33203125" style="323" customWidth="1"/>
    <col min="9763" max="9984" width="9" style="323" customWidth="1"/>
    <col min="9985" max="9985" width="60.33203125" style="323" customWidth="1"/>
    <col min="9986" max="9986" width="2.83203125" style="323" customWidth="1"/>
    <col min="9987" max="9987" width="14.83203125" style="323" customWidth="1"/>
    <col min="9988" max="9988" width="13.83203125" style="323" bestFit="1" customWidth="1"/>
    <col min="9989" max="9989" width="15.33203125" style="323" customWidth="1"/>
    <col min="9990" max="9990" width="14.1640625" style="323" customWidth="1"/>
    <col min="9991" max="9991" width="15.1640625" style="323" customWidth="1"/>
    <col min="9992" max="9992" width="13.33203125" style="323" customWidth="1"/>
    <col min="9993" max="9993" width="17.33203125" style="323" customWidth="1"/>
    <col min="9994" max="9994" width="15.1640625" style="323" customWidth="1"/>
    <col min="9995" max="9995" width="19.6640625" style="323" customWidth="1"/>
    <col min="9996" max="9998" width="16" style="323" customWidth="1"/>
    <col min="9999" max="9999" width="14.83203125" style="323" customWidth="1"/>
    <col min="10000" max="10000" width="17.33203125" style="323" customWidth="1"/>
    <col min="10001" max="10001" width="14.83203125" style="323" customWidth="1"/>
    <col min="10002" max="10010" width="9" style="323" customWidth="1"/>
    <col min="10011" max="10011" width="7.1640625" style="323" bestFit="1" customWidth="1"/>
    <col min="10012" max="10013" width="9" style="323" customWidth="1"/>
    <col min="10014" max="10018" width="10.33203125" style="323" customWidth="1"/>
    <col min="10019" max="10240" width="9" style="323" customWidth="1"/>
    <col min="10241" max="10241" width="60.33203125" style="323" customWidth="1"/>
    <col min="10242" max="10242" width="2.83203125" style="323" customWidth="1"/>
    <col min="10243" max="10243" width="14.83203125" style="323" customWidth="1"/>
    <col min="10244" max="10244" width="13.83203125" style="323" bestFit="1" customWidth="1"/>
    <col min="10245" max="10245" width="15.33203125" style="323" customWidth="1"/>
    <col min="10246" max="10246" width="14.1640625" style="323" customWidth="1"/>
    <col min="10247" max="10247" width="15.1640625" style="323" customWidth="1"/>
    <col min="10248" max="10248" width="13.33203125" style="323" customWidth="1"/>
    <col min="10249" max="10249" width="17.33203125" style="323" customWidth="1"/>
    <col min="10250" max="10250" width="15.1640625" style="323" customWidth="1"/>
    <col min="10251" max="10251" width="19.6640625" style="323" customWidth="1"/>
    <col min="10252" max="10254" width="16" style="323" customWidth="1"/>
    <col min="10255" max="10255" width="14.83203125" style="323" customWidth="1"/>
    <col min="10256" max="10256" width="17.33203125" style="323" customWidth="1"/>
    <col min="10257" max="10257" width="14.83203125" style="323" customWidth="1"/>
    <col min="10258" max="10266" width="9" style="323" customWidth="1"/>
    <col min="10267" max="10267" width="7.1640625" style="323" bestFit="1" customWidth="1"/>
    <col min="10268" max="10269" width="9" style="323" customWidth="1"/>
    <col min="10270" max="10274" width="10.33203125" style="323" customWidth="1"/>
    <col min="10275" max="10496" width="9" style="323" customWidth="1"/>
    <col min="10497" max="10497" width="60.33203125" style="323" customWidth="1"/>
    <col min="10498" max="10498" width="2.83203125" style="323" customWidth="1"/>
    <col min="10499" max="10499" width="14.83203125" style="323" customWidth="1"/>
    <col min="10500" max="10500" width="13.83203125" style="323" bestFit="1" customWidth="1"/>
    <col min="10501" max="10501" width="15.33203125" style="323" customWidth="1"/>
    <col min="10502" max="10502" width="14.1640625" style="323" customWidth="1"/>
    <col min="10503" max="10503" width="15.1640625" style="323" customWidth="1"/>
    <col min="10504" max="10504" width="13.33203125" style="323" customWidth="1"/>
    <col min="10505" max="10505" width="17.33203125" style="323" customWidth="1"/>
    <col min="10506" max="10506" width="15.1640625" style="323" customWidth="1"/>
    <col min="10507" max="10507" width="19.6640625" style="323" customWidth="1"/>
    <col min="10508" max="10510" width="16" style="323" customWidth="1"/>
    <col min="10511" max="10511" width="14.83203125" style="323" customWidth="1"/>
    <col min="10512" max="10512" width="17.33203125" style="323" customWidth="1"/>
    <col min="10513" max="10513" width="14.83203125" style="323" customWidth="1"/>
    <col min="10514" max="10522" width="9" style="323" customWidth="1"/>
    <col min="10523" max="10523" width="7.1640625" style="323" bestFit="1" customWidth="1"/>
    <col min="10524" max="10525" width="9" style="323" customWidth="1"/>
    <col min="10526" max="10530" width="10.33203125" style="323" customWidth="1"/>
    <col min="10531" max="10752" width="9" style="323" customWidth="1"/>
    <col min="10753" max="10753" width="60.33203125" style="323" customWidth="1"/>
    <col min="10754" max="10754" width="2.83203125" style="323" customWidth="1"/>
    <col min="10755" max="10755" width="14.83203125" style="323" customWidth="1"/>
    <col min="10756" max="10756" width="13.83203125" style="323" bestFit="1" customWidth="1"/>
    <col min="10757" max="10757" width="15.33203125" style="323" customWidth="1"/>
    <col min="10758" max="10758" width="14.1640625" style="323" customWidth="1"/>
    <col min="10759" max="10759" width="15.1640625" style="323" customWidth="1"/>
    <col min="10760" max="10760" width="13.33203125" style="323" customWidth="1"/>
    <col min="10761" max="10761" width="17.33203125" style="323" customWidth="1"/>
    <col min="10762" max="10762" width="15.1640625" style="323" customWidth="1"/>
    <col min="10763" max="10763" width="19.6640625" style="323" customWidth="1"/>
    <col min="10764" max="10766" width="16" style="323" customWidth="1"/>
    <col min="10767" max="10767" width="14.83203125" style="323" customWidth="1"/>
    <col min="10768" max="10768" width="17.33203125" style="323" customWidth="1"/>
    <col min="10769" max="10769" width="14.83203125" style="323" customWidth="1"/>
    <col min="10770" max="10778" width="9" style="323" customWidth="1"/>
    <col min="10779" max="10779" width="7.1640625" style="323" bestFit="1" customWidth="1"/>
    <col min="10780" max="10781" width="9" style="323" customWidth="1"/>
    <col min="10782" max="10786" width="10.33203125" style="323" customWidth="1"/>
    <col min="10787" max="11008" width="9" style="323" customWidth="1"/>
    <col min="11009" max="11009" width="60.33203125" style="323" customWidth="1"/>
    <col min="11010" max="11010" width="2.83203125" style="323" customWidth="1"/>
    <col min="11011" max="11011" width="14.83203125" style="323" customWidth="1"/>
    <col min="11012" max="11012" width="13.83203125" style="323" bestFit="1" customWidth="1"/>
    <col min="11013" max="11013" width="15.33203125" style="323" customWidth="1"/>
    <col min="11014" max="11014" width="14.1640625" style="323" customWidth="1"/>
    <col min="11015" max="11015" width="15.1640625" style="323" customWidth="1"/>
    <col min="11016" max="11016" width="13.33203125" style="323" customWidth="1"/>
    <col min="11017" max="11017" width="17.33203125" style="323" customWidth="1"/>
    <col min="11018" max="11018" width="15.1640625" style="323" customWidth="1"/>
    <col min="11019" max="11019" width="19.6640625" style="323" customWidth="1"/>
    <col min="11020" max="11022" width="16" style="323" customWidth="1"/>
    <col min="11023" max="11023" width="14.83203125" style="323" customWidth="1"/>
    <col min="11024" max="11024" width="17.33203125" style="323" customWidth="1"/>
    <col min="11025" max="11025" width="14.83203125" style="323" customWidth="1"/>
    <col min="11026" max="11034" width="9" style="323" customWidth="1"/>
    <col min="11035" max="11035" width="7.1640625" style="323" bestFit="1" customWidth="1"/>
    <col min="11036" max="11037" width="9" style="323" customWidth="1"/>
    <col min="11038" max="11042" width="10.33203125" style="323" customWidth="1"/>
    <col min="11043" max="11264" width="9" style="323" customWidth="1"/>
    <col min="11265" max="11265" width="60.33203125" style="323" customWidth="1"/>
    <col min="11266" max="11266" width="2.83203125" style="323" customWidth="1"/>
    <col min="11267" max="11267" width="14.83203125" style="323" customWidth="1"/>
    <col min="11268" max="11268" width="13.83203125" style="323" bestFit="1" customWidth="1"/>
    <col min="11269" max="11269" width="15.33203125" style="323" customWidth="1"/>
    <col min="11270" max="11270" width="14.1640625" style="323" customWidth="1"/>
    <col min="11271" max="11271" width="15.1640625" style="323" customWidth="1"/>
    <col min="11272" max="11272" width="13.33203125" style="323" customWidth="1"/>
    <col min="11273" max="11273" width="17.33203125" style="323" customWidth="1"/>
    <col min="11274" max="11274" width="15.1640625" style="323" customWidth="1"/>
    <col min="11275" max="11275" width="19.6640625" style="323" customWidth="1"/>
    <col min="11276" max="11278" width="16" style="323" customWidth="1"/>
    <col min="11279" max="11279" width="14.83203125" style="323" customWidth="1"/>
    <col min="11280" max="11280" width="17.33203125" style="323" customWidth="1"/>
    <col min="11281" max="11281" width="14.83203125" style="323" customWidth="1"/>
    <col min="11282" max="11290" width="9" style="323" customWidth="1"/>
    <col min="11291" max="11291" width="7.1640625" style="323" bestFit="1" customWidth="1"/>
    <col min="11292" max="11293" width="9" style="323" customWidth="1"/>
    <col min="11294" max="11298" width="10.33203125" style="323" customWidth="1"/>
    <col min="11299" max="11520" width="9" style="323" customWidth="1"/>
    <col min="11521" max="11521" width="60.33203125" style="323" customWidth="1"/>
    <col min="11522" max="11522" width="2.83203125" style="323" customWidth="1"/>
    <col min="11523" max="11523" width="14.83203125" style="323" customWidth="1"/>
    <col min="11524" max="11524" width="13.83203125" style="323" bestFit="1" customWidth="1"/>
    <col min="11525" max="11525" width="15.33203125" style="323" customWidth="1"/>
    <col min="11526" max="11526" width="14.1640625" style="323" customWidth="1"/>
    <col min="11527" max="11527" width="15.1640625" style="323" customWidth="1"/>
    <col min="11528" max="11528" width="13.33203125" style="323" customWidth="1"/>
    <col min="11529" max="11529" width="17.33203125" style="323" customWidth="1"/>
    <col min="11530" max="11530" width="15.1640625" style="323" customWidth="1"/>
    <col min="11531" max="11531" width="19.6640625" style="323" customWidth="1"/>
    <col min="11532" max="11534" width="16" style="323" customWidth="1"/>
    <col min="11535" max="11535" width="14.83203125" style="323" customWidth="1"/>
    <col min="11536" max="11536" width="17.33203125" style="323" customWidth="1"/>
    <col min="11537" max="11537" width="14.83203125" style="323" customWidth="1"/>
    <col min="11538" max="11546" width="9" style="323" customWidth="1"/>
    <col min="11547" max="11547" width="7.1640625" style="323" bestFit="1" customWidth="1"/>
    <col min="11548" max="11549" width="9" style="323" customWidth="1"/>
    <col min="11550" max="11554" width="10.33203125" style="323" customWidth="1"/>
    <col min="11555" max="11776" width="9" style="323" customWidth="1"/>
    <col min="11777" max="11777" width="60.33203125" style="323" customWidth="1"/>
    <col min="11778" max="11778" width="2.83203125" style="323" customWidth="1"/>
    <col min="11779" max="11779" width="14.83203125" style="323" customWidth="1"/>
    <col min="11780" max="11780" width="13.83203125" style="323" bestFit="1" customWidth="1"/>
    <col min="11781" max="11781" width="15.33203125" style="323" customWidth="1"/>
    <col min="11782" max="11782" width="14.1640625" style="323" customWidth="1"/>
    <col min="11783" max="11783" width="15.1640625" style="323" customWidth="1"/>
    <col min="11784" max="11784" width="13.33203125" style="323" customWidth="1"/>
    <col min="11785" max="11785" width="17.33203125" style="323" customWidth="1"/>
    <col min="11786" max="11786" width="15.1640625" style="323" customWidth="1"/>
    <col min="11787" max="11787" width="19.6640625" style="323" customWidth="1"/>
    <col min="11788" max="11790" width="16" style="323" customWidth="1"/>
    <col min="11791" max="11791" width="14.83203125" style="323" customWidth="1"/>
    <col min="11792" max="11792" width="17.33203125" style="323" customWidth="1"/>
    <col min="11793" max="11793" width="14.83203125" style="323" customWidth="1"/>
    <col min="11794" max="11802" width="9" style="323" customWidth="1"/>
    <col min="11803" max="11803" width="7.1640625" style="323" bestFit="1" customWidth="1"/>
    <col min="11804" max="11805" width="9" style="323" customWidth="1"/>
    <col min="11806" max="11810" width="10.33203125" style="323" customWidth="1"/>
    <col min="11811" max="12032" width="9" style="323" customWidth="1"/>
    <col min="12033" max="12033" width="60.33203125" style="323" customWidth="1"/>
    <col min="12034" max="12034" width="2.83203125" style="323" customWidth="1"/>
    <col min="12035" max="12035" width="14.83203125" style="323" customWidth="1"/>
    <col min="12036" max="12036" width="13.83203125" style="323" bestFit="1" customWidth="1"/>
    <col min="12037" max="12037" width="15.33203125" style="323" customWidth="1"/>
    <col min="12038" max="12038" width="14.1640625" style="323" customWidth="1"/>
    <col min="12039" max="12039" width="15.1640625" style="323" customWidth="1"/>
    <col min="12040" max="12040" width="13.33203125" style="323" customWidth="1"/>
    <col min="12041" max="12041" width="17.33203125" style="323" customWidth="1"/>
    <col min="12042" max="12042" width="15.1640625" style="323" customWidth="1"/>
    <col min="12043" max="12043" width="19.6640625" style="323" customWidth="1"/>
    <col min="12044" max="12046" width="16" style="323" customWidth="1"/>
    <col min="12047" max="12047" width="14.83203125" style="323" customWidth="1"/>
    <col min="12048" max="12048" width="17.33203125" style="323" customWidth="1"/>
    <col min="12049" max="12049" width="14.83203125" style="323" customWidth="1"/>
    <col min="12050" max="12058" width="9" style="323" customWidth="1"/>
    <col min="12059" max="12059" width="7.1640625" style="323" bestFit="1" customWidth="1"/>
    <col min="12060" max="12061" width="9" style="323" customWidth="1"/>
    <col min="12062" max="12066" width="10.33203125" style="323" customWidth="1"/>
    <col min="12067" max="12288" width="9" style="323" customWidth="1"/>
    <col min="12289" max="12289" width="60.33203125" style="323" customWidth="1"/>
    <col min="12290" max="12290" width="2.83203125" style="323" customWidth="1"/>
    <col min="12291" max="12291" width="14.83203125" style="323" customWidth="1"/>
    <col min="12292" max="12292" width="13.83203125" style="323" bestFit="1" customWidth="1"/>
    <col min="12293" max="12293" width="15.33203125" style="323" customWidth="1"/>
    <col min="12294" max="12294" width="14.1640625" style="323" customWidth="1"/>
    <col min="12295" max="12295" width="15.1640625" style="323" customWidth="1"/>
    <col min="12296" max="12296" width="13.33203125" style="323" customWidth="1"/>
    <col min="12297" max="12297" width="17.33203125" style="323" customWidth="1"/>
    <col min="12298" max="12298" width="15.1640625" style="323" customWidth="1"/>
    <col min="12299" max="12299" width="19.6640625" style="323" customWidth="1"/>
    <col min="12300" max="12302" width="16" style="323" customWidth="1"/>
    <col min="12303" max="12303" width="14.83203125" style="323" customWidth="1"/>
    <col min="12304" max="12304" width="17.33203125" style="323" customWidth="1"/>
    <col min="12305" max="12305" width="14.83203125" style="323" customWidth="1"/>
    <col min="12306" max="12314" width="9" style="323" customWidth="1"/>
    <col min="12315" max="12315" width="7.1640625" style="323" bestFit="1" customWidth="1"/>
    <col min="12316" max="12317" width="9" style="323" customWidth="1"/>
    <col min="12318" max="12322" width="10.33203125" style="323" customWidth="1"/>
    <col min="12323" max="12544" width="9" style="323" customWidth="1"/>
    <col min="12545" max="12545" width="60.33203125" style="323" customWidth="1"/>
    <col min="12546" max="12546" width="2.83203125" style="323" customWidth="1"/>
    <col min="12547" max="12547" width="14.83203125" style="323" customWidth="1"/>
    <col min="12548" max="12548" width="13.83203125" style="323" bestFit="1" customWidth="1"/>
    <col min="12549" max="12549" width="15.33203125" style="323" customWidth="1"/>
    <col min="12550" max="12550" width="14.1640625" style="323" customWidth="1"/>
    <col min="12551" max="12551" width="15.1640625" style="323" customWidth="1"/>
    <col min="12552" max="12552" width="13.33203125" style="323" customWidth="1"/>
    <col min="12553" max="12553" width="17.33203125" style="323" customWidth="1"/>
    <col min="12554" max="12554" width="15.1640625" style="323" customWidth="1"/>
    <col min="12555" max="12555" width="19.6640625" style="323" customWidth="1"/>
    <col min="12556" max="12558" width="16" style="323" customWidth="1"/>
    <col min="12559" max="12559" width="14.83203125" style="323" customWidth="1"/>
    <col min="12560" max="12560" width="17.33203125" style="323" customWidth="1"/>
    <col min="12561" max="12561" width="14.83203125" style="323" customWidth="1"/>
    <col min="12562" max="12570" width="9" style="323" customWidth="1"/>
    <col min="12571" max="12571" width="7.1640625" style="323" bestFit="1" customWidth="1"/>
    <col min="12572" max="12573" width="9" style="323" customWidth="1"/>
    <col min="12574" max="12578" width="10.33203125" style="323" customWidth="1"/>
    <col min="12579" max="12800" width="9" style="323" customWidth="1"/>
    <col min="12801" max="12801" width="60.33203125" style="323" customWidth="1"/>
    <col min="12802" max="12802" width="2.83203125" style="323" customWidth="1"/>
    <col min="12803" max="12803" width="14.83203125" style="323" customWidth="1"/>
    <col min="12804" max="12804" width="13.83203125" style="323" bestFit="1" customWidth="1"/>
    <col min="12805" max="12805" width="15.33203125" style="323" customWidth="1"/>
    <col min="12806" max="12806" width="14.1640625" style="323" customWidth="1"/>
    <col min="12807" max="12807" width="15.1640625" style="323" customWidth="1"/>
    <col min="12808" max="12808" width="13.33203125" style="323" customWidth="1"/>
    <col min="12809" max="12809" width="17.33203125" style="323" customWidth="1"/>
    <col min="12810" max="12810" width="15.1640625" style="323" customWidth="1"/>
    <col min="12811" max="12811" width="19.6640625" style="323" customWidth="1"/>
    <col min="12812" max="12814" width="16" style="323" customWidth="1"/>
    <col min="12815" max="12815" width="14.83203125" style="323" customWidth="1"/>
    <col min="12816" max="12816" width="17.33203125" style="323" customWidth="1"/>
    <col min="12817" max="12817" width="14.83203125" style="323" customWidth="1"/>
    <col min="12818" max="12826" width="9" style="323" customWidth="1"/>
    <col min="12827" max="12827" width="7.1640625" style="323" bestFit="1" customWidth="1"/>
    <col min="12828" max="12829" width="9" style="323" customWidth="1"/>
    <col min="12830" max="12834" width="10.33203125" style="323" customWidth="1"/>
    <col min="12835" max="13056" width="9" style="323" customWidth="1"/>
    <col min="13057" max="13057" width="60.33203125" style="323" customWidth="1"/>
    <col min="13058" max="13058" width="2.83203125" style="323" customWidth="1"/>
    <col min="13059" max="13059" width="14.83203125" style="323" customWidth="1"/>
    <col min="13060" max="13060" width="13.83203125" style="323" bestFit="1" customWidth="1"/>
    <col min="13061" max="13061" width="15.33203125" style="323" customWidth="1"/>
    <col min="13062" max="13062" width="14.1640625" style="323" customWidth="1"/>
    <col min="13063" max="13063" width="15.1640625" style="323" customWidth="1"/>
    <col min="13064" max="13064" width="13.33203125" style="323" customWidth="1"/>
    <col min="13065" max="13065" width="17.33203125" style="323" customWidth="1"/>
    <col min="13066" max="13066" width="15.1640625" style="323" customWidth="1"/>
    <col min="13067" max="13067" width="19.6640625" style="323" customWidth="1"/>
    <col min="13068" max="13070" width="16" style="323" customWidth="1"/>
    <col min="13071" max="13071" width="14.83203125" style="323" customWidth="1"/>
    <col min="13072" max="13072" width="17.33203125" style="323" customWidth="1"/>
    <col min="13073" max="13073" width="14.83203125" style="323" customWidth="1"/>
    <col min="13074" max="13082" width="9" style="323" customWidth="1"/>
    <col min="13083" max="13083" width="7.1640625" style="323" bestFit="1" customWidth="1"/>
    <col min="13084" max="13085" width="9" style="323" customWidth="1"/>
    <col min="13086" max="13090" width="10.33203125" style="323" customWidth="1"/>
    <col min="13091" max="13312" width="9" style="323" customWidth="1"/>
    <col min="13313" max="13313" width="60.33203125" style="323" customWidth="1"/>
    <col min="13314" max="13314" width="2.83203125" style="323" customWidth="1"/>
    <col min="13315" max="13315" width="14.83203125" style="323" customWidth="1"/>
    <col min="13316" max="13316" width="13.83203125" style="323" bestFit="1" customWidth="1"/>
    <col min="13317" max="13317" width="15.33203125" style="323" customWidth="1"/>
    <col min="13318" max="13318" width="14.1640625" style="323" customWidth="1"/>
    <col min="13319" max="13319" width="15.1640625" style="323" customWidth="1"/>
    <col min="13320" max="13320" width="13.33203125" style="323" customWidth="1"/>
    <col min="13321" max="13321" width="17.33203125" style="323" customWidth="1"/>
    <col min="13322" max="13322" width="15.1640625" style="323" customWidth="1"/>
    <col min="13323" max="13323" width="19.6640625" style="323" customWidth="1"/>
    <col min="13324" max="13326" width="16" style="323" customWidth="1"/>
    <col min="13327" max="13327" width="14.83203125" style="323" customWidth="1"/>
    <col min="13328" max="13328" width="17.33203125" style="323" customWidth="1"/>
    <col min="13329" max="13329" width="14.83203125" style="323" customWidth="1"/>
    <col min="13330" max="13338" width="9" style="323" customWidth="1"/>
    <col min="13339" max="13339" width="7.1640625" style="323" bestFit="1" customWidth="1"/>
    <col min="13340" max="13341" width="9" style="323" customWidth="1"/>
    <col min="13342" max="13346" width="10.33203125" style="323" customWidth="1"/>
    <col min="13347" max="13568" width="9" style="323" customWidth="1"/>
    <col min="13569" max="13569" width="60.33203125" style="323" customWidth="1"/>
    <col min="13570" max="13570" width="2.83203125" style="323" customWidth="1"/>
    <col min="13571" max="13571" width="14.83203125" style="323" customWidth="1"/>
    <col min="13572" max="13572" width="13.83203125" style="323" bestFit="1" customWidth="1"/>
    <col min="13573" max="13573" width="15.33203125" style="323" customWidth="1"/>
    <col min="13574" max="13574" width="14.1640625" style="323" customWidth="1"/>
    <col min="13575" max="13575" width="15.1640625" style="323" customWidth="1"/>
    <col min="13576" max="13576" width="13.33203125" style="323" customWidth="1"/>
    <col min="13577" max="13577" width="17.33203125" style="323" customWidth="1"/>
    <col min="13578" max="13578" width="15.1640625" style="323" customWidth="1"/>
    <col min="13579" max="13579" width="19.6640625" style="323" customWidth="1"/>
    <col min="13580" max="13582" width="16" style="323" customWidth="1"/>
    <col min="13583" max="13583" width="14.83203125" style="323" customWidth="1"/>
    <col min="13584" max="13584" width="17.33203125" style="323" customWidth="1"/>
    <col min="13585" max="13585" width="14.83203125" style="323" customWidth="1"/>
    <col min="13586" max="13594" width="9" style="323" customWidth="1"/>
    <col min="13595" max="13595" width="7.1640625" style="323" bestFit="1" customWidth="1"/>
    <col min="13596" max="13597" width="9" style="323" customWidth="1"/>
    <col min="13598" max="13602" width="10.33203125" style="323" customWidth="1"/>
    <col min="13603" max="13824" width="9" style="323" customWidth="1"/>
    <col min="13825" max="13825" width="60.33203125" style="323" customWidth="1"/>
    <col min="13826" max="13826" width="2.83203125" style="323" customWidth="1"/>
    <col min="13827" max="13827" width="14.83203125" style="323" customWidth="1"/>
    <col min="13828" max="13828" width="13.83203125" style="323" bestFit="1" customWidth="1"/>
    <col min="13829" max="13829" width="15.33203125" style="323" customWidth="1"/>
    <col min="13830" max="13830" width="14.1640625" style="323" customWidth="1"/>
    <col min="13831" max="13831" width="15.1640625" style="323" customWidth="1"/>
    <col min="13832" max="13832" width="13.33203125" style="323" customWidth="1"/>
    <col min="13833" max="13833" width="17.33203125" style="323" customWidth="1"/>
    <col min="13834" max="13834" width="15.1640625" style="323" customWidth="1"/>
    <col min="13835" max="13835" width="19.6640625" style="323" customWidth="1"/>
    <col min="13836" max="13838" width="16" style="323" customWidth="1"/>
    <col min="13839" max="13839" width="14.83203125" style="323" customWidth="1"/>
    <col min="13840" max="13840" width="17.33203125" style="323" customWidth="1"/>
    <col min="13841" max="13841" width="14.83203125" style="323" customWidth="1"/>
    <col min="13842" max="13850" width="9" style="323" customWidth="1"/>
    <col min="13851" max="13851" width="7.1640625" style="323" bestFit="1" customWidth="1"/>
    <col min="13852" max="13853" width="9" style="323" customWidth="1"/>
    <col min="13854" max="13858" width="10.33203125" style="323" customWidth="1"/>
    <col min="13859" max="14080" width="9" style="323" customWidth="1"/>
    <col min="14081" max="14081" width="60.33203125" style="323" customWidth="1"/>
    <col min="14082" max="14082" width="2.83203125" style="323" customWidth="1"/>
    <col min="14083" max="14083" width="14.83203125" style="323" customWidth="1"/>
    <col min="14084" max="14084" width="13.83203125" style="323" bestFit="1" customWidth="1"/>
    <col min="14085" max="14085" width="15.33203125" style="323" customWidth="1"/>
    <col min="14086" max="14086" width="14.1640625" style="323" customWidth="1"/>
    <col min="14087" max="14087" width="15.1640625" style="323" customWidth="1"/>
    <col min="14088" max="14088" width="13.33203125" style="323" customWidth="1"/>
    <col min="14089" max="14089" width="17.33203125" style="323" customWidth="1"/>
    <col min="14090" max="14090" width="15.1640625" style="323" customWidth="1"/>
    <col min="14091" max="14091" width="19.6640625" style="323" customWidth="1"/>
    <col min="14092" max="14094" width="16" style="323" customWidth="1"/>
    <col min="14095" max="14095" width="14.83203125" style="323" customWidth="1"/>
    <col min="14096" max="14096" width="17.33203125" style="323" customWidth="1"/>
    <col min="14097" max="14097" width="14.83203125" style="323" customWidth="1"/>
    <col min="14098" max="14106" width="9" style="323" customWidth="1"/>
    <col min="14107" max="14107" width="7.1640625" style="323" bestFit="1" customWidth="1"/>
    <col min="14108" max="14109" width="9" style="323" customWidth="1"/>
    <col min="14110" max="14114" width="10.33203125" style="323" customWidth="1"/>
    <col min="14115" max="14336" width="9" style="323" customWidth="1"/>
    <col min="14337" max="14337" width="60.33203125" style="323" customWidth="1"/>
    <col min="14338" max="14338" width="2.83203125" style="323" customWidth="1"/>
    <col min="14339" max="14339" width="14.83203125" style="323" customWidth="1"/>
    <col min="14340" max="14340" width="13.83203125" style="323" bestFit="1" customWidth="1"/>
    <col min="14341" max="14341" width="15.33203125" style="323" customWidth="1"/>
    <col min="14342" max="14342" width="14.1640625" style="323" customWidth="1"/>
    <col min="14343" max="14343" width="15.1640625" style="323" customWidth="1"/>
    <col min="14344" max="14344" width="13.33203125" style="323" customWidth="1"/>
    <col min="14345" max="14345" width="17.33203125" style="323" customWidth="1"/>
    <col min="14346" max="14346" width="15.1640625" style="323" customWidth="1"/>
    <col min="14347" max="14347" width="19.6640625" style="323" customWidth="1"/>
    <col min="14348" max="14350" width="16" style="323" customWidth="1"/>
    <col min="14351" max="14351" width="14.83203125" style="323" customWidth="1"/>
    <col min="14352" max="14352" width="17.33203125" style="323" customWidth="1"/>
    <col min="14353" max="14353" width="14.83203125" style="323" customWidth="1"/>
    <col min="14354" max="14362" width="9" style="323" customWidth="1"/>
    <col min="14363" max="14363" width="7.1640625" style="323" bestFit="1" customWidth="1"/>
    <col min="14364" max="14365" width="9" style="323" customWidth="1"/>
    <col min="14366" max="14370" width="10.33203125" style="323" customWidth="1"/>
    <col min="14371" max="14592" width="9" style="323" customWidth="1"/>
    <col min="14593" max="14593" width="60.33203125" style="323" customWidth="1"/>
    <col min="14594" max="14594" width="2.83203125" style="323" customWidth="1"/>
    <col min="14595" max="14595" width="14.83203125" style="323" customWidth="1"/>
    <col min="14596" max="14596" width="13.83203125" style="323" bestFit="1" customWidth="1"/>
    <col min="14597" max="14597" width="15.33203125" style="323" customWidth="1"/>
    <col min="14598" max="14598" width="14.1640625" style="323" customWidth="1"/>
    <col min="14599" max="14599" width="15.1640625" style="323" customWidth="1"/>
    <col min="14600" max="14600" width="13.33203125" style="323" customWidth="1"/>
    <col min="14601" max="14601" width="17.33203125" style="323" customWidth="1"/>
    <col min="14602" max="14602" width="15.1640625" style="323" customWidth="1"/>
    <col min="14603" max="14603" width="19.6640625" style="323" customWidth="1"/>
    <col min="14604" max="14606" width="16" style="323" customWidth="1"/>
    <col min="14607" max="14607" width="14.83203125" style="323" customWidth="1"/>
    <col min="14608" max="14608" width="17.33203125" style="323" customWidth="1"/>
    <col min="14609" max="14609" width="14.83203125" style="323" customWidth="1"/>
    <col min="14610" max="14618" width="9" style="323" customWidth="1"/>
    <col min="14619" max="14619" width="7.1640625" style="323" bestFit="1" customWidth="1"/>
    <col min="14620" max="14621" width="9" style="323" customWidth="1"/>
    <col min="14622" max="14626" width="10.33203125" style="323" customWidth="1"/>
    <col min="14627" max="14848" width="9" style="323" customWidth="1"/>
    <col min="14849" max="14849" width="60.33203125" style="323" customWidth="1"/>
    <col min="14850" max="14850" width="2.83203125" style="323" customWidth="1"/>
    <col min="14851" max="14851" width="14.83203125" style="323" customWidth="1"/>
    <col min="14852" max="14852" width="13.83203125" style="323" bestFit="1" customWidth="1"/>
    <col min="14853" max="14853" width="15.33203125" style="323" customWidth="1"/>
    <col min="14854" max="14854" width="14.1640625" style="323" customWidth="1"/>
    <col min="14855" max="14855" width="15.1640625" style="323" customWidth="1"/>
    <col min="14856" max="14856" width="13.33203125" style="323" customWidth="1"/>
    <col min="14857" max="14857" width="17.33203125" style="323" customWidth="1"/>
    <col min="14858" max="14858" width="15.1640625" style="323" customWidth="1"/>
    <col min="14859" max="14859" width="19.6640625" style="323" customWidth="1"/>
    <col min="14860" max="14862" width="16" style="323" customWidth="1"/>
    <col min="14863" max="14863" width="14.83203125" style="323" customWidth="1"/>
    <col min="14864" max="14864" width="17.33203125" style="323" customWidth="1"/>
    <col min="14865" max="14865" width="14.83203125" style="323" customWidth="1"/>
    <col min="14866" max="14874" width="9" style="323" customWidth="1"/>
    <col min="14875" max="14875" width="7.1640625" style="323" bestFit="1" customWidth="1"/>
    <col min="14876" max="14877" width="9" style="323" customWidth="1"/>
    <col min="14878" max="14882" width="10.33203125" style="323" customWidth="1"/>
    <col min="14883" max="15104" width="9" style="323" customWidth="1"/>
    <col min="15105" max="15105" width="60.33203125" style="323" customWidth="1"/>
    <col min="15106" max="15106" width="2.83203125" style="323" customWidth="1"/>
    <col min="15107" max="15107" width="14.83203125" style="323" customWidth="1"/>
    <col min="15108" max="15108" width="13.83203125" style="323" bestFit="1" customWidth="1"/>
    <col min="15109" max="15109" width="15.33203125" style="323" customWidth="1"/>
    <col min="15110" max="15110" width="14.1640625" style="323" customWidth="1"/>
    <col min="15111" max="15111" width="15.1640625" style="323" customWidth="1"/>
    <col min="15112" max="15112" width="13.33203125" style="323" customWidth="1"/>
    <col min="15113" max="15113" width="17.33203125" style="323" customWidth="1"/>
    <col min="15114" max="15114" width="15.1640625" style="323" customWidth="1"/>
    <col min="15115" max="15115" width="19.6640625" style="323" customWidth="1"/>
    <col min="15116" max="15118" width="16" style="323" customWidth="1"/>
    <col min="15119" max="15119" width="14.83203125" style="323" customWidth="1"/>
    <col min="15120" max="15120" width="17.33203125" style="323" customWidth="1"/>
    <col min="15121" max="15121" width="14.83203125" style="323" customWidth="1"/>
    <col min="15122" max="15130" width="9" style="323" customWidth="1"/>
    <col min="15131" max="15131" width="7.1640625" style="323" bestFit="1" customWidth="1"/>
    <col min="15132" max="15133" width="9" style="323" customWidth="1"/>
    <col min="15134" max="15138" width="10.33203125" style="323" customWidth="1"/>
    <col min="15139" max="15360" width="9" style="323" customWidth="1"/>
    <col min="15361" max="15361" width="60.33203125" style="323" customWidth="1"/>
    <col min="15362" max="15362" width="2.83203125" style="323" customWidth="1"/>
    <col min="15363" max="15363" width="14.83203125" style="323" customWidth="1"/>
    <col min="15364" max="15364" width="13.83203125" style="323" bestFit="1" customWidth="1"/>
    <col min="15365" max="15365" width="15.33203125" style="323" customWidth="1"/>
    <col min="15366" max="15366" width="14.1640625" style="323" customWidth="1"/>
    <col min="15367" max="15367" width="15.1640625" style="323" customWidth="1"/>
    <col min="15368" max="15368" width="13.33203125" style="323" customWidth="1"/>
    <col min="15369" max="15369" width="17.33203125" style="323" customWidth="1"/>
    <col min="15370" max="15370" width="15.1640625" style="323" customWidth="1"/>
    <col min="15371" max="15371" width="19.6640625" style="323" customWidth="1"/>
    <col min="15372" max="15374" width="16" style="323" customWidth="1"/>
    <col min="15375" max="15375" width="14.83203125" style="323" customWidth="1"/>
    <col min="15376" max="15376" width="17.33203125" style="323" customWidth="1"/>
    <col min="15377" max="15377" width="14.83203125" style="323" customWidth="1"/>
    <col min="15378" max="15386" width="9" style="323" customWidth="1"/>
    <col min="15387" max="15387" width="7.1640625" style="323" bestFit="1" customWidth="1"/>
    <col min="15388" max="15389" width="9" style="323" customWidth="1"/>
    <col min="15390" max="15394" width="10.33203125" style="323" customWidth="1"/>
    <col min="15395" max="15616" width="9" style="323" customWidth="1"/>
    <col min="15617" max="15617" width="60.33203125" style="323" customWidth="1"/>
    <col min="15618" max="15618" width="2.83203125" style="323" customWidth="1"/>
    <col min="15619" max="15619" width="14.83203125" style="323" customWidth="1"/>
    <col min="15620" max="15620" width="13.83203125" style="323" bestFit="1" customWidth="1"/>
    <col min="15621" max="15621" width="15.33203125" style="323" customWidth="1"/>
    <col min="15622" max="15622" width="14.1640625" style="323" customWidth="1"/>
    <col min="15623" max="15623" width="15.1640625" style="323" customWidth="1"/>
    <col min="15624" max="15624" width="13.33203125" style="323" customWidth="1"/>
    <col min="15625" max="15625" width="17.33203125" style="323" customWidth="1"/>
    <col min="15626" max="15626" width="15.1640625" style="323" customWidth="1"/>
    <col min="15627" max="15627" width="19.6640625" style="323" customWidth="1"/>
    <col min="15628" max="15630" width="16" style="323" customWidth="1"/>
    <col min="15631" max="15631" width="14.83203125" style="323" customWidth="1"/>
    <col min="15632" max="15632" width="17.33203125" style="323" customWidth="1"/>
    <col min="15633" max="15633" width="14.83203125" style="323" customWidth="1"/>
    <col min="15634" max="15642" width="9" style="323" customWidth="1"/>
    <col min="15643" max="15643" width="7.1640625" style="323" bestFit="1" customWidth="1"/>
    <col min="15644" max="15645" width="9" style="323" customWidth="1"/>
    <col min="15646" max="15650" width="10.33203125" style="323" customWidth="1"/>
    <col min="15651" max="15872" width="9" style="323" customWidth="1"/>
    <col min="15873" max="15873" width="60.33203125" style="323" customWidth="1"/>
    <col min="15874" max="15874" width="2.83203125" style="323" customWidth="1"/>
    <col min="15875" max="15875" width="14.83203125" style="323" customWidth="1"/>
    <col min="15876" max="15876" width="13.83203125" style="323" bestFit="1" customWidth="1"/>
    <col min="15877" max="15877" width="15.33203125" style="323" customWidth="1"/>
    <col min="15878" max="15878" width="14.1640625" style="323" customWidth="1"/>
    <col min="15879" max="15879" width="15.1640625" style="323" customWidth="1"/>
    <col min="15880" max="15880" width="13.33203125" style="323" customWidth="1"/>
    <col min="15881" max="15881" width="17.33203125" style="323" customWidth="1"/>
    <col min="15882" max="15882" width="15.1640625" style="323" customWidth="1"/>
    <col min="15883" max="15883" width="19.6640625" style="323" customWidth="1"/>
    <col min="15884" max="15886" width="16" style="323" customWidth="1"/>
    <col min="15887" max="15887" width="14.83203125" style="323" customWidth="1"/>
    <col min="15888" max="15888" width="17.33203125" style="323" customWidth="1"/>
    <col min="15889" max="15889" width="14.83203125" style="323" customWidth="1"/>
    <col min="15890" max="15898" width="9" style="323" customWidth="1"/>
    <col min="15899" max="15899" width="7.1640625" style="323" bestFit="1" customWidth="1"/>
    <col min="15900" max="15901" width="9" style="323" customWidth="1"/>
    <col min="15902" max="15906" width="10.33203125" style="323" customWidth="1"/>
    <col min="15907" max="16128" width="9" style="323" customWidth="1"/>
    <col min="16129" max="16129" width="60.33203125" style="323" customWidth="1"/>
    <col min="16130" max="16130" width="2.83203125" style="323" customWidth="1"/>
    <col min="16131" max="16131" width="14.83203125" style="323" customWidth="1"/>
    <col min="16132" max="16132" width="13.83203125" style="323" bestFit="1" customWidth="1"/>
    <col min="16133" max="16133" width="15.33203125" style="323" customWidth="1"/>
    <col min="16134" max="16134" width="14.1640625" style="323" customWidth="1"/>
    <col min="16135" max="16135" width="15.1640625" style="323" customWidth="1"/>
    <col min="16136" max="16136" width="13.33203125" style="323" customWidth="1"/>
    <col min="16137" max="16137" width="17.33203125" style="323" customWidth="1"/>
    <col min="16138" max="16138" width="15.1640625" style="323" customWidth="1"/>
    <col min="16139" max="16139" width="19.6640625" style="323" customWidth="1"/>
    <col min="16140" max="16142" width="16" style="323" customWidth="1"/>
    <col min="16143" max="16143" width="14.83203125" style="323" customWidth="1"/>
    <col min="16144" max="16144" width="17.33203125" style="323" customWidth="1"/>
    <col min="16145" max="16145" width="14.83203125" style="323" customWidth="1"/>
    <col min="16146" max="16154" width="9" style="323" customWidth="1"/>
    <col min="16155" max="16155" width="7.1640625" style="323" bestFit="1" customWidth="1"/>
    <col min="16156" max="16157" width="9" style="323" customWidth="1"/>
    <col min="16158" max="16162" width="10.33203125" style="323" customWidth="1"/>
    <col min="16163" max="16384" width="9" style="323" customWidth="1"/>
  </cols>
  <sheetData>
    <row r="1" spans="1:27" x14ac:dyDescent="0.2">
      <c r="A1" s="322" t="s">
        <v>0</v>
      </c>
      <c r="B1" s="900" t="str">
        <f>'Cover Page'!D1</f>
        <v>Eduprize Schools LLC</v>
      </c>
      <c r="C1" s="900"/>
      <c r="D1" s="900"/>
      <c r="E1" s="900"/>
      <c r="G1" s="322" t="s">
        <v>1</v>
      </c>
      <c r="H1" s="900" t="str">
        <f>'Cover Page'!M1</f>
        <v>Pinal</v>
      </c>
      <c r="I1" s="900"/>
      <c r="K1" s="322" t="s">
        <v>2</v>
      </c>
      <c r="L1" s="325" t="str">
        <f>'Cover Page'!R1</f>
        <v>078687000</v>
      </c>
      <c r="M1" s="326"/>
      <c r="N1" s="326"/>
      <c r="O1" s="327"/>
      <c r="P1" s="328"/>
    </row>
    <row r="2" spans="1:27" x14ac:dyDescent="0.2">
      <c r="A2" s="322"/>
      <c r="B2" s="322"/>
      <c r="C2" s="332"/>
      <c r="D2" s="326"/>
      <c r="E2" s="333"/>
      <c r="F2" s="333"/>
      <c r="G2" s="333"/>
      <c r="H2" s="322"/>
      <c r="I2" s="326"/>
      <c r="J2" s="326"/>
      <c r="K2" s="326"/>
      <c r="L2" s="333"/>
      <c r="M2" s="326"/>
      <c r="N2" s="326"/>
      <c r="O2" s="327"/>
      <c r="P2" s="327"/>
      <c r="Q2" s="334"/>
    </row>
    <row r="3" spans="1:27" x14ac:dyDescent="0.2">
      <c r="A3" s="662" t="s">
        <v>724</v>
      </c>
      <c r="B3"/>
      <c r="C3" t="s">
        <v>416</v>
      </c>
      <c r="D3" s="561"/>
      <c r="E3" s="561"/>
      <c r="F3" s="561"/>
      <c r="G3" s="561"/>
      <c r="H3" s="561"/>
      <c r="I3" s="561"/>
      <c r="J3" s="561"/>
      <c r="K3" s="561"/>
      <c r="L3" s="561"/>
      <c r="M3" s="561"/>
      <c r="N3" s="327"/>
    </row>
    <row r="4" spans="1:27" ht="24" customHeight="1" x14ac:dyDescent="0.2">
      <c r="L4" s="327"/>
      <c r="M4" s="561"/>
      <c r="N4" s="561"/>
    </row>
    <row r="5" spans="1:27" x14ac:dyDescent="0.2">
      <c r="A5" s="905"/>
      <c r="B5" s="34"/>
      <c r="C5" s="335"/>
      <c r="D5" s="907" t="s">
        <v>351</v>
      </c>
      <c r="E5" s="908"/>
      <c r="F5" s="908"/>
      <c r="G5" s="908"/>
      <c r="H5" s="908"/>
      <c r="I5" s="908"/>
      <c r="J5" s="908"/>
      <c r="K5" s="908"/>
      <c r="L5" s="909"/>
      <c r="M5" s="336" t="s">
        <v>417</v>
      </c>
      <c r="N5" s="910" t="s">
        <v>283</v>
      </c>
    </row>
    <row r="6" spans="1:27" x14ac:dyDescent="0.2">
      <c r="A6" s="906"/>
      <c r="D6" s="337"/>
      <c r="E6" s="338"/>
      <c r="F6" s="338" t="s">
        <v>150</v>
      </c>
      <c r="G6" s="338"/>
      <c r="H6" s="338"/>
      <c r="I6" s="338"/>
      <c r="J6" s="338"/>
      <c r="K6" s="338" t="s">
        <v>94</v>
      </c>
      <c r="L6" s="339"/>
      <c r="N6" s="911"/>
    </row>
    <row r="7" spans="1:27" x14ac:dyDescent="0.2">
      <c r="D7" s="340"/>
      <c r="E7" s="341" t="s">
        <v>85</v>
      </c>
      <c r="F7" s="341" t="s">
        <v>92</v>
      </c>
      <c r="G7" s="341"/>
      <c r="H7" s="341" t="s">
        <v>352</v>
      </c>
      <c r="I7" s="341" t="s">
        <v>418</v>
      </c>
      <c r="J7" s="341"/>
      <c r="K7" s="342" t="s">
        <v>353</v>
      </c>
      <c r="L7" s="343"/>
      <c r="M7" s="344" t="s">
        <v>419</v>
      </c>
      <c r="N7" s="911"/>
    </row>
    <row r="8" spans="1:27" ht="12" customHeight="1" x14ac:dyDescent="0.2">
      <c r="A8" s="913" t="s">
        <v>420</v>
      </c>
      <c r="B8" s="913"/>
      <c r="C8" s="914"/>
      <c r="D8" s="341" t="s">
        <v>90</v>
      </c>
      <c r="E8" s="345" t="s">
        <v>91</v>
      </c>
      <c r="F8" s="345" t="s">
        <v>354</v>
      </c>
      <c r="G8" s="345" t="s">
        <v>93</v>
      </c>
      <c r="H8" s="345" t="s">
        <v>355</v>
      </c>
      <c r="I8" s="345" t="s">
        <v>421</v>
      </c>
      <c r="J8" s="345" t="s">
        <v>356</v>
      </c>
      <c r="K8" s="342" t="s">
        <v>422</v>
      </c>
      <c r="L8" s="346" t="s">
        <v>358</v>
      </c>
      <c r="M8" s="344" t="s">
        <v>423</v>
      </c>
      <c r="N8" s="911"/>
    </row>
    <row r="9" spans="1:27" x14ac:dyDescent="0.2">
      <c r="A9" s="915"/>
      <c r="B9" s="915"/>
      <c r="C9" s="916"/>
      <c r="D9" s="347">
        <v>6100</v>
      </c>
      <c r="E9" s="347">
        <v>6200</v>
      </c>
      <c r="F9" s="347">
        <v>6500</v>
      </c>
      <c r="G9" s="347">
        <v>6600</v>
      </c>
      <c r="H9" s="347">
        <v>6810</v>
      </c>
      <c r="I9" s="347">
        <v>6820</v>
      </c>
      <c r="J9" s="347">
        <v>6890</v>
      </c>
      <c r="K9" s="347" t="s">
        <v>424</v>
      </c>
      <c r="L9" s="346" t="s">
        <v>361</v>
      </c>
      <c r="M9" s="348" t="s">
        <v>425</v>
      </c>
      <c r="N9" s="912"/>
    </row>
    <row r="10" spans="1:27" ht="12.75" customHeight="1" x14ac:dyDescent="0.2">
      <c r="A10" s="349" t="s">
        <v>197</v>
      </c>
      <c r="B10" s="350"/>
      <c r="C10" s="351" t="s">
        <v>24</v>
      </c>
      <c r="D10" s="352">
        <f t="array" ref="D10">SUM(SUMIFS('Accounting data'!G2:G65538,'Accounting data'!H2:H65538,"1310-1399-C*",'Accounting data'!I2:I65538,{"1*","2*","3*","4*","5*","6*"},'Accounting data'!J2:J65538,"1*",'Accounting data'!K2:K65538,"61*"))+SUM(SUMIFS('Accounting data'!G2:G65538,'Accounting data'!H2:H65538,"1227*",'Accounting data'!I2:I65538,{"1*","2*","3*","4*","5*","6*"},'Accounting data'!J2:J65538,"1*",'Accounting data'!K2:K65538,"61*"))+SUM(SUMIFS('Accounting data'!G2:G65538,'Accounting data'!H2:H65538,"1228*",'Accounting data'!I2:I65538,{"1*","2*","3*","4*","5*","6*"},'Accounting data'!J2:J65538,"1*",'Accounting data'!K2:K65538,"61*"))</f>
        <v>0</v>
      </c>
      <c r="E10" s="352">
        <f t="array" ref="E10">SUM(SUMIFS('Accounting data'!G2:G65538,'Accounting data'!H2:H65538,"1310-1399-C*",'Accounting data'!I2:I65538,{"1*","2*","3*","4*","5*","6*"},'Accounting data'!J2:J65538,"1*",'Accounting data'!K2:K65538,"62*"))+SUM(SUMIFS('Accounting data'!G2:G65538,'Accounting data'!H2:H65538,"1227*",'Accounting data'!I2:I65538,{"1*","2*","3*","4*","5*","6*"},'Accounting data'!J2:J65538,"1*",'Accounting data'!K2:K65538,"62*"))+SUM(SUMIFS('Accounting data'!G2:G65538,'Accounting data'!H2:H65538,"1228*",'Accounting data'!I2:I65538,{"1*","2*","3*","4*","5*","6*"},'Accounting data'!J2:J65538,"1*",'Accounting data'!K2:K65538,"62*"))</f>
        <v>0</v>
      </c>
      <c r="F10" s="352">
        <f t="array" ref="F10">SUM(SUMIFS('Accounting data'!G2:G65538,'Accounting data'!H2:H65538,"1310-1399-C*",'Accounting data'!I2:I65538,{"1*","2*","3*","4*","5*","6*"},'Accounting data'!J2:J65538,"1*",'Accounting data'!K2:K65538,"63*"))+SUM(SUMIFS('Accounting data'!G2:G65538,'Accounting data'!H2:H65538,"1227*",'Accounting data'!I2:I65538,{"1*","2*","3*","4*","5*","6*"},'Accounting data'!J2:J65538,"1*",'Accounting data'!K2:K65538,"63*"))+SUM(SUMIFS('Accounting data'!G2:G65538,'Accounting data'!H2:H65538,"1228*",'Accounting data'!I2:I65538,{"1*","2*","3*","4*","5*","6*"},'Accounting data'!J2:J65538,"1*",'Accounting data'!K2:K65538,"63*"))</f>
        <v>0</v>
      </c>
      <c r="G10" s="352">
        <f t="array" ref="G10">SUM(SUMIFS('Accounting data'!G2:G65538,'Accounting data'!H2:H65538,"1310-1399-C*",'Accounting data'!I2:I65538,{"1*","2*","3*","4*","5*","6*"},'Accounting data'!J2:J65538,"1*",'Accounting data'!K2:K65538,"66*"))+SUM(SUMIFS('Accounting data'!G2:G65538,'Accounting data'!H2:H65538,"1227*",'Accounting data'!I2:I65538,{"1*","2*","3*","4*","5*","6*"},'Accounting data'!J2:J65538,"1*",'Accounting data'!K2:K65538,"66*"))+SUM(SUMIFS('Accounting data'!G2:G65538,'Accounting data'!H2:H65538,"1228*",'Accounting data'!I2:I65538,{"1*","2*","3*","4*","5*","6*"},'Accounting data'!J2:J65538,"1*",'Accounting data'!K2:K65538,"66*"))</f>
        <v>0</v>
      </c>
      <c r="H10" s="352">
        <f t="array" ref="H10">SUM(SUMIFS('Accounting data'!G2:G65538,'Accounting data'!H2:H65538,"1310-1399-C*",'Accounting data'!I2:I65538,{"1*","2*","3*","4*","5*","6*"},'Accounting data'!J2:J65538,"1*",'Accounting data'!K2:K65538,"681*"))+SUM(SUMIFS('Accounting data'!G2:G65538,'Accounting data'!H2:H65538,"1227*",'Accounting data'!I2:I65538,{"1*","2*","3*","4*","5*","6*"},'Accounting data'!J2:J65538,"1*",'Accounting data'!K2:K65538,"681*"))+SUM(SUMIFS('Accounting data'!G2:G65538,'Accounting data'!H2:H65538,"1228*",'Accounting data'!I2:I65538,{"1*","2*","3*","4*","5*","6*"},'Accounting data'!J2:J65538,"1*",'Accounting data'!K2:K65538,"681*"))</f>
        <v>0</v>
      </c>
      <c r="I10" s="353"/>
      <c r="J10" s="352">
        <f t="array" ref="J10">SUM(SUMIFS('Accounting data'!G2:G65538,'Accounting data'!H2:H65538,"1310-1399-C*",'Accounting data'!I2:I65538,{"1*","2*","3*","4*","5*","6*"},'Accounting data'!J2:J65538,"1*",'Accounting data'!K2:K65538,"689*"))+SUM(SUMIFS('Accounting data'!G2:G65538,'Accounting data'!H2:H65538,"1227*",'Accounting data'!I2:I65538,{"1*","2*","3*","4*","5*","6*"},'Accounting data'!J2:J65538,"1*",'Accounting data'!K2:K65538,"689*"))+SUM(SUMIFS('Accounting data'!G2:G65538,'Accounting data'!H2:H65538,"1228*",'Accounting data'!I2:I65538,{"1*","2*","3*","4*","5*","6*"},'Accounting data'!J2:J65538,"1*",'Accounting data'!K2:K65538,"689*"))</f>
        <v>0</v>
      </c>
      <c r="K10" s="352">
        <f t="array" ref="K10">SUM(SUMIFS('Accounting data'!G2:G65538,'Accounting data'!H2:H65538,"1310-1399-C*",'Accounting data'!I2:I65538,{"1*","2*","3*","4*","5*","6*"},'Accounting data'!J2:J65538,"1*",'Accounting data'!K2:K65538,"683*"))+SUM(SUMIFS('Accounting data'!G2:G65538,'Accounting data'!H2:H65538,"1227*",'Accounting data'!I2:I65538,{"1*","2*","3*","4*","5*","6*"},'Accounting data'!J2:J65538,"1*",'Accounting data'!K2:K65538,"683*"))+SUM(SUMIFS('Accounting data'!G2:G65538,'Accounting data'!H2:H65538,"1228*",'Accounting data'!I2:I65538,{"1*","2*","3*","4*","5*","6*"},'Accounting data'!J2:J65538,"1*",'Accounting data'!K2:K65538,"683*"))</f>
        <v>0</v>
      </c>
      <c r="L10" s="35">
        <v>0</v>
      </c>
      <c r="M10" s="352">
        <f t="array" ref="M10">SUM(SUMIFS('Accounting data'!G2:G65538,'Accounting data'!H2:H65538,"1310-1399-C*",'Accounting data'!I2:I65538,{"7*","8*","9*"},'Accounting data'!J2:J65538,"1*",'Accounting data'!K2:K65538,"6*"))-SUM(SUMIFS('Accounting data'!G2:G65538,'Accounting data'!H2:H65538,"1310-1399-C*",'Accounting data'!I2:I65538,{"7*","8*","9*"},'Accounting data'!J2:J65538,"1*",'Accounting data'!K2:K65538,"69*"))+SUM(SUMIFS('Accounting data'!G2:G65538,'Accounting data'!H2:H65538,"1227*",'Accounting data'!I2:I65538,{"7*","8*","9*"},'Accounting data'!J2:J65538,"1*",'Accounting data'!K2:K65538,"6*"))-SUM(SUMIFS('Accounting data'!G2:G65538,'Accounting data'!H2:H65538,"1227*",'Accounting data'!I2:I65538,{"7*","8*","9*"},'Accounting data'!J2:J65538,"1*",'Accounting data'!K2:K65538,"69*"))+SUM(SUMIFS('Accounting data'!G2:G65538,'Accounting data'!H2:H65538,"1228*",'Accounting data'!I2:I65538,{"7*","8*","9*"},'Accounting data'!J2:J65538,"1*",'Accounting data'!K2:K65538,"6*"))-SUM(SUMIFS('Accounting data'!G2:G65538,'Accounting data'!H2:H65538,"1228*",'Accounting data'!I2:I65538,{"7*","8*","9*"},'Accounting data'!J2:J65538,"1*",'Accounting data'!K2:K65538,"69*"))</f>
        <v>0</v>
      </c>
      <c r="N10" s="354">
        <f t="shared" ref="N10:N19" si="0">ROUND(SUM(D10:M10),0)</f>
        <v>0</v>
      </c>
      <c r="O10" s="355"/>
    </row>
    <row r="11" spans="1:27" x14ac:dyDescent="0.2">
      <c r="A11" s="356" t="s">
        <v>426</v>
      </c>
      <c r="B11" s="584"/>
      <c r="C11" s="357" t="s">
        <v>26</v>
      </c>
      <c r="D11" s="352">
        <f t="array" ref="D11">SUM(SUMIFS('Accounting data'!G2:G65538,'Accounting data'!H2:H65538,"1310-1399-C*",'Accounting data'!I2:I65538,{"1*","2*","3*","4*","5*","6*"},'Accounting data'!J2:J65538,"21*",'Accounting data'!K2:K65538,"61*"))+SUM(SUMIFS('Accounting data'!G2:G65538,'Accounting data'!H2:H65538,"1310-1399-C*",'Accounting data'!I2:I65538,{"1*","2*","3*","4*","5*","6*"},'Accounting data'!J2:J65538,"22*",'Accounting data'!K2:K65538,"61*"))+SUM(SUMIFS('Accounting data'!G2:G65538,'Accounting data'!H2:H65538,"1227*",'Accounting data'!I2:I65538,{"1*","2*","3*","4*","5*","6*"},'Accounting data'!J2:J65538,"21*",'Accounting data'!K2:K65538,"61*"))+SUM(SUMIFS('Accounting data'!G2:G65538,'Accounting data'!H2:H65538,"1227*",'Accounting data'!I2:I65538,{"1*","2*","3*","4*","5*","6*"},'Accounting data'!J2:J65538,"22*",'Accounting data'!K2:K65538,"61*"))+SUM(SUMIFS('Accounting data'!G2:G65538,'Accounting data'!H2:H65538,"1228*",'Accounting data'!I2:I65538,{"1*","2*","3*","4*","5*","6*"},'Accounting data'!J2:J65538,"21*",'Accounting data'!K2:K65538,"61*"))+SUM(SUMIFS('Accounting data'!G2:G65538,'Accounting data'!H2:H65538,"1228*",'Accounting data'!I2:I65538,{"1*","2*","3*","4*","5*","6*"},'Accounting data'!J2:J65538,"22*",'Accounting data'!K2:K65538,"61*"))</f>
        <v>0</v>
      </c>
      <c r="E11" s="352">
        <f t="array" ref="E11">SUM(SUMIFS('Accounting data'!G2:G65538,'Accounting data'!H2:H65538,"1310-1399-C*",'Accounting data'!I2:I65538,{"1*","2*","3*","4*","5*","6*"},'Accounting data'!J2:J65538,"21*",'Accounting data'!K2:K65538,"62*"))+SUM(SUMIFS('Accounting data'!G2:G65538,'Accounting data'!H2:H65538,"1310-1399-C*",'Accounting data'!I2:I65538,{"1*","2*","3*","4*","5*","6*"},'Accounting data'!J2:J65538,"22*",'Accounting data'!K2:K65538,"62*"))+SUM(SUMIFS('Accounting data'!G2:G65538,'Accounting data'!H2:H65538,"1227*",'Accounting data'!I2:I65538,{"1*","2*","3*","4*","5*","6*"},'Accounting data'!J2:J65538,"21*",'Accounting data'!K2:K65538,"62*"))+SUM(SUMIFS('Accounting data'!G2:G65538,'Accounting data'!H2:H65538,"1227*",'Accounting data'!I2:I65538,{"1*","2*","3*","4*","5*","6*"},'Accounting data'!J2:J65538,"22*",'Accounting data'!K2:K65538,"62*"))+SUM(SUMIFS('Accounting data'!G2:G65538,'Accounting data'!H2:H65538,"1228*",'Accounting data'!I2:I65538,{"1*","2*","3*","4*","5*","6*"},'Accounting data'!J2:J65538,"21*",'Accounting data'!K2:K65538,"62*"))+SUM(SUMIFS('Accounting data'!G2:G65538,'Accounting data'!H2:H65538,"1228*",'Accounting data'!I2:I65538,{"1*","2*","3*","4*","5*","6*"},'Accounting data'!J2:J65538,"22*",'Accounting data'!K2:K65538,"62*"))</f>
        <v>0</v>
      </c>
      <c r="F11" s="352">
        <f t="array" ref="F11">SUM(SUMIFS('Accounting data'!G2:G65538,'Accounting data'!H2:H65538,"1310-1399-C*",'Accounting data'!I2:I65538,{"1*","2*","3*","4*","5*","6*"},'Accounting data'!J2:J65538,"21*",'Accounting data'!K2:K65538,"63*"))+SUM(SUMIFS('Accounting data'!G2:G65538,'Accounting data'!H2:H65538,"1310-1399-C*",'Accounting data'!I2:I65538,{"1*","2*","3*","4*","5*","6*"},'Accounting data'!J2:J65538,"22*",'Accounting data'!K2:K65538,"63*"))+SUM(SUMIFS('Accounting data'!G2:G65538,'Accounting data'!H2:H65538,"1227*",'Accounting data'!I2:I65538,{"1*","2*","3*","4*","5*","6*"},'Accounting data'!J2:J65538,"21*",'Accounting data'!K2:K65538,"63*"))+SUM(SUMIFS('Accounting data'!G2:G65538,'Accounting data'!H2:H65538,"1227*",'Accounting data'!I2:I65538,{"1*","2*","3*","4*","5*","6*"},'Accounting data'!J2:J65538,"22*",'Accounting data'!K2:K65538,"63*"))+SUM(SUMIFS('Accounting data'!G2:G65538,'Accounting data'!H2:H65538,"1228*",'Accounting data'!I2:I65538,{"1*","2*","3*","4*","5*","6*"},'Accounting data'!J2:J65538,"21*",'Accounting data'!K2:K65538,"63*"))+SUM(SUMIFS('Accounting data'!G2:G65538,'Accounting data'!H2:H65538,"1228*",'Accounting data'!I2:I65538,{"1*","2*","3*","4*","5*","6*"},'Accounting data'!J2:J65538,"22*",'Accounting data'!K2:K65538,"63*"))</f>
        <v>0</v>
      </c>
      <c r="G11" s="352">
        <f t="array" ref="G11">SUM(SUMIFS('Accounting data'!G2:G65538,'Accounting data'!H2:H65538,"1310-1399-C*",'Accounting data'!I2:I65538,{"1*","2*","3*","4*","5*","6*"},'Accounting data'!J2:J65538,"21*",'Accounting data'!K2:K65538,"66*"))+SUM(SUMIFS('Accounting data'!G2:G65538,'Accounting data'!H2:H65538,"1310-1399-C*",'Accounting data'!I2:I65538,{"1*","2*","3*","4*","5*","6*"},'Accounting data'!J2:J65538,"22*",'Accounting data'!K2:K65538,"66*"))+SUM(SUMIFS('Accounting data'!G2:G65538,'Accounting data'!H2:H65538,"1227*",'Accounting data'!I2:I65538,{"1*","2*","3*","4*","5*","6*"},'Accounting data'!J2:J65538,"21*",'Accounting data'!K2:K65538,"66*"))+SUM(SUMIFS('Accounting data'!G2:G65538,'Accounting data'!H2:H65538,"1227*",'Accounting data'!I2:I65538,{"1*","2*","3*","4*","5*","6*"},'Accounting data'!J2:J65538,"22*",'Accounting data'!K2:K65538,"66*"))+SUM(SUMIFS('Accounting data'!G2:G65538,'Accounting data'!H2:H65538,"1228*",'Accounting data'!I2:I65538,{"1*","2*","3*","4*","5*","6*"},'Accounting data'!J2:J65538,"21*",'Accounting data'!K2:K65538,"66*"))+SUM(SUMIFS('Accounting data'!G2:G65538,'Accounting data'!H2:H65538,"1228*",'Accounting data'!I2:I65538,{"1*","2*","3*","4*","5*","6*"},'Accounting data'!J2:J65538,"22*",'Accounting data'!K2:K65538,"66*"))</f>
        <v>0</v>
      </c>
      <c r="H11" s="352">
        <f t="array" ref="H11">SUM(SUMIFS('Accounting data'!G2:G65538,'Accounting data'!H2:H65538,"1310-1399-C*",'Accounting data'!I2:I65538,{"1*","2*","3*","4*","5*","6*"},'Accounting data'!J2:J65538,"21*",'Accounting data'!K2:K65538,"681*"))+SUM(SUMIFS('Accounting data'!G2:G65538,'Accounting data'!H2:H65538,"1310-1399-C*",'Accounting data'!I2:I65538,{"1*","2*","3*","4*","5*","6*"},'Accounting data'!J2:J65538,"22*",'Accounting data'!K2:K65538,"681*"))+SUM(SUMIFS('Accounting data'!G2:G65538,'Accounting data'!H2:H65538,"1227*",'Accounting data'!I2:I65538,{"1*","2*","3*","4*","5*","6*"},'Accounting data'!J2:J65538,"21*",'Accounting data'!K2:K65538,"681*"))+SUM(SUMIFS('Accounting data'!G2:G65538,'Accounting data'!H2:H65538,"1227*",'Accounting data'!I2:I65538,{"1*","2*","3*","4*","5*","6*"},'Accounting data'!J2:J65538,"22*",'Accounting data'!K2:K65538,"681*"))+SUM(SUMIFS('Accounting data'!G2:G65538,'Accounting data'!H2:H65538,"1228*",'Accounting data'!I2:I65538,{"1*","2*","3*","4*","5*","6*"},'Accounting data'!J2:J65538,"21*",'Accounting data'!K2:K65538,"681*"))+SUM(SUMIFS('Accounting data'!G2:G65538,'Accounting data'!H2:H65538,"1228*",'Accounting data'!I2:I65538,{"1*","2*","3*","4*","5*","6*"},'Accounting data'!J2:J65538,"22*",'Accounting data'!K2:K65538,"681*"))</f>
        <v>0</v>
      </c>
      <c r="I11" s="353"/>
      <c r="J11" s="352">
        <f t="array" ref="J11">SUM(SUMIFS('Accounting data'!G2:G65538,'Accounting data'!H2:H65538,"1310-1399-C*",'Accounting data'!I2:I65538,{"1*","2*","3*","4*","5*","6*"},'Accounting data'!J2:J65538,"21*",'Accounting data'!K2:K65538,"689*"))+SUM(SUMIFS('Accounting data'!G2:G65538,'Accounting data'!H2:H65538,"1310-1399-C*",'Accounting data'!I2:I65538,{"1*","2*","3*","4*","5*","6*"},'Accounting data'!J2:J65538,"22*",'Accounting data'!K2:K65538,"689*"))+SUM(SUMIFS('Accounting data'!G2:G65538,'Accounting data'!H2:H65538,"1227*",'Accounting data'!I2:I65538,{"1*","2*","3*","4*","5*","6*"},'Accounting data'!J2:J65538,"21*",'Accounting data'!K2:K65538,"689*"))+SUM(SUMIFS('Accounting data'!G2:G65538,'Accounting data'!H2:H65538,"1227*",'Accounting data'!I2:I65538,{"1*","2*","3*","4*","5*","6*"},'Accounting data'!J2:J65538,"22*",'Accounting data'!K2:K65538,"689*"))+SUM(SUMIFS('Accounting data'!G2:G65538,'Accounting data'!H2:H65538,"1228*",'Accounting data'!I2:I65538,{"1*","2*","3*","4*","5*","6*"},'Accounting data'!J2:J65538,"21*",'Accounting data'!K2:K65538,"689*"))+SUM(SUMIFS('Accounting data'!G2:G65538,'Accounting data'!H2:H65538,"1228*",'Accounting data'!I2:I65538,{"1*","2*","3*","4*","5*","6*"},'Accounting data'!J2:J65538,"22*",'Accounting data'!K2:K65538,"689*"))</f>
        <v>0</v>
      </c>
      <c r="K11" s="352">
        <f t="array" ref="K11">SUM(SUMIFS('Accounting data'!G2:G65538,'Accounting data'!H2:H65538,"1310-1399-C*",'Accounting data'!I2:I65538,{"1*","2*","3*","4*","5*","6*"},'Accounting data'!J2:J65538,"21*",'Accounting data'!K2:K65538,"683*"))+SUM(SUMIFS('Accounting data'!G2:G65538,'Accounting data'!H2:H65538,"1310-1399-C*",'Accounting data'!I2:I65538,{"1*","2*","3*","4*","5*","6*"},'Accounting data'!J2:J65538,"22*",'Accounting data'!K2:K65538,"683*"))+SUM(SUMIFS('Accounting data'!G2:G65538,'Accounting data'!H2:H65538,"1227*",'Accounting data'!I2:I65538,{"1*","2*","3*","4*","5*","6*"},'Accounting data'!J2:J65538,"21*",'Accounting data'!K2:K65538,"683*"))+SUM(SUMIFS('Accounting data'!G2:G65538,'Accounting data'!H2:H65538,"1227*",'Accounting data'!I2:I65538,{"1*","2*","3*","4*","5*","6*"},'Accounting data'!J2:J65538,"22*",'Accounting data'!K2:K65538,"683*"))+SUM(SUMIFS('Accounting data'!G2:G65538,'Accounting data'!H2:H65538,"1228*",'Accounting data'!I2:I65538,{"1*","2*","3*","4*","5*","6*"},'Accounting data'!J2:J65538,"21*",'Accounting data'!K2:K65538,"683*"))+SUM(SUMIFS('Accounting data'!G2:G65538,'Accounting data'!H2:H65538,"1228*",'Accounting data'!I2:I65538,{"1*","2*","3*","4*","5*","6*"},'Accounting data'!J2:J65538,"22*",'Accounting data'!K2:K65538,"683*"))</f>
        <v>0</v>
      </c>
      <c r="L11" s="35">
        <v>0</v>
      </c>
      <c r="M11" s="352">
        <f t="array" ref="M11">(SUM(SUMIFS('Accounting data'!G2:G65538,'Accounting data'!H2:H65538,"1310-1399-C*",'Accounting data'!I2:I65538,{"7*","8*","9*"},'Accounting data'!J2:J65538,"21*",'Accounting data'!K2:K65538,"6*"))+SUM(SUMIFS('Accounting data'!G2:G65538,'Accounting data'!H2:H65538,"1310-1399-C*",'Accounting data'!I2:I65538,{"7*","8*","9*"},'Accounting data'!J2:J65538,"22*",'Accounting data'!K2:K65538,"6*")))-(SUM(SUMIFS('Accounting data'!G2:G65538,'Accounting data'!H2:H65538,"1310-1399-C*",'Accounting data'!I2:I65538,{"7*","8*","9*"},'Accounting data'!J2:J65538,"21*",'Accounting data'!K2:K65538,"69*"))+SUM(SUMIFS('Accounting data'!G2:G65538,'Accounting data'!H2:H65538,"1310-1399-C*",'Accounting data'!I2:I65538,{"7*","8*","9*"},'Accounting data'!J2:J65538,"22*",'Accounting data'!K2:K65538,"69*")))+(SUM(SUMIFS('Accounting data'!G2:G65538,'Accounting data'!H2:H65538,"1227*",'Accounting data'!I2:I65538,{"7*","8*","9*"},'Accounting data'!J2:J65538,"21*",'Accounting data'!K2:K65538,"6*"))+SUM(SUMIFS('Accounting data'!G2:G65538,'Accounting data'!H2:H65538,"1227*",'Accounting data'!I2:I65538,{"7*","8*","9*"},'Accounting data'!J2:J65538,"22*",'Accounting data'!K2:K65538,"6*")))-(SUM(SUMIFS('Accounting data'!G2:G65538,'Accounting data'!H2:H65538,"1227*",'Accounting data'!I2:I65538,{"7*","8*","9*"},'Accounting data'!J2:J65538,"21*",'Accounting data'!K2:K65538,"69*"))+SUM(SUMIFS('Accounting data'!G2:G65538,'Accounting data'!H2:H65538,"1227*",'Accounting data'!I2:I65538,{"7*","8*","9*"},'Accounting data'!J2:J65538,"22*",'Accounting data'!K2:K65538,"69*")))+(SUM(SUMIFS('Accounting data'!G2:G65538,'Accounting data'!H2:H65538,"1228*",'Accounting data'!I2:I65538,{"7*","8*","9*"},'Accounting data'!J2:J65538,"21*",'Accounting data'!K2:K65538,"6*"))+SUM(SUMIFS('Accounting data'!G2:G65538,'Accounting data'!H2:H65538,"1228*",'Accounting data'!I2:I65538,{"7*","8*","9*"},'Accounting data'!J2:J65538,"22*",'Accounting data'!K2:K65538,"6*")))-(SUM(SUMIFS('Accounting data'!G2:G65538,'Accounting data'!H2:H65538,"1228*",'Accounting data'!I2:I65538,{"7*","8*","9*"},'Accounting data'!J2:J65538,"21*",'Accounting data'!K2:K65538,"69*"))+SUM(SUMIFS('Accounting data'!G2:G65538,'Accounting data'!H2:H65538,"1228*",'Accounting data'!I2:I65538,{"7*","8*","9*"},'Accounting data'!J2:J65538,"22*",'Accounting data'!K2:K65538,"69*")))</f>
        <v>0</v>
      </c>
      <c r="N11" s="354">
        <f t="shared" si="0"/>
        <v>0</v>
      </c>
      <c r="O11" s="355"/>
    </row>
    <row r="12" spans="1:27" x14ac:dyDescent="0.2">
      <c r="A12" s="356" t="s">
        <v>427</v>
      </c>
      <c r="B12" s="584"/>
      <c r="C12" s="357" t="s">
        <v>28</v>
      </c>
      <c r="D12" s="352">
        <f t="array" ref="D12">SUM(SUMIFS('Accounting data'!G2:G65538,'Accounting data'!H2:H65538,"1310-1399-C*",'Accounting data'!I2:I65538,{"1*","2*","3*","4*","5*","6*"},'Accounting data'!J2:J65538,"23*",'Accounting data'!K2:K65538,"61*"))+SUM(SUMIFS('Accounting data'!G2:G65538,'Accounting data'!H2:H65538,"1310-1399-C*",'Accounting data'!I2:I65538,{"1*","2*","3*","4*","5*","6*"},'Accounting data'!J2:J65538,"25*",'Accounting data'!K2:K65538,"61*"))+SUM(SUMIFS('Accounting data'!G2:G65538,'Accounting data'!H2:H65538,"1310-1399-C*",'Accounting data'!I2:I65538,{"1*","2*","3*","4*","5*","6*"},'Accounting data'!J2:J65538,"29*",'Accounting data'!K2:K65538,"61*"))+SUM(SUMIFS('Accounting data'!G2:G65538,'Accounting data'!H2:H65538,"1227*",'Accounting data'!I2:I65538,{"1*","2*","3*","4*","5*","6*"},'Accounting data'!J2:J65538,"23*",'Accounting data'!K2:K65538,"61*"))+SUM(SUMIFS('Accounting data'!G2:G65538,'Accounting data'!H2:H65538,"1227*",'Accounting data'!I2:I65538,{"1*","2*","3*","4*","5*","6*"},'Accounting data'!J2:J65538,"25*",'Accounting data'!K2:K65538,"61*"))+SUM(SUMIFS('Accounting data'!G2:G65538,'Accounting data'!H2:H65538,"1227*",'Accounting data'!I2:I65538,{"1*","2*","3*","4*","5*","6*"},'Accounting data'!J2:J65538,"29*",'Accounting data'!K2:K65538,"61*"))+SUM(SUMIFS('Accounting data'!G2:G65538,'Accounting data'!H2:H65538,"1228*",'Accounting data'!I2:I65538,{"1*","2*","3*","4*","5*","6*"},'Accounting data'!J2:J65538,"23*",'Accounting data'!K2:K65538,"61*"))+SUM(SUMIFS('Accounting data'!G2:G65538,'Accounting data'!H2:H65538,"1228*",'Accounting data'!I2:I65538,{"1*","2*","3*","4*","5*","6*"},'Accounting data'!J2:J65538,"25*",'Accounting data'!K2:K65538,"61*"))+SUM(SUMIFS('Accounting data'!G2:G65538,'Accounting data'!H2:H65538,"1228*",'Accounting data'!I2:I65538,{"1*","2*","3*","4*","5*","6*"},'Accounting data'!J2:J65538,"29*",'Accounting data'!K2:K65538,"61*"))</f>
        <v>0</v>
      </c>
      <c r="E12" s="352">
        <f t="array" ref="E12">SUM(SUMIFS('Accounting data'!G2:G65538,'Accounting data'!H2:H65538,"1310-1399-C*",'Accounting data'!I2:I65538,{"1*","2*","3*","4*","5*","6*"},'Accounting data'!J2:J65538,"23*",'Accounting data'!K2:K65538,"62*"))+SUM(SUMIFS('Accounting data'!G2:G65538,'Accounting data'!H2:H65538,"1310-1399-C*",'Accounting data'!I2:I65538,{"1*","2*","3*","4*","5*","6*"},'Accounting data'!J2:J65538,"25*",'Accounting data'!K2:K65538,"62*"))+SUM(SUMIFS('Accounting data'!G2:G65538,'Accounting data'!H2:H65538,"1310-1399-C*",'Accounting data'!I2:I65538,{"1*","2*","3*","4*","5*","6*"},'Accounting data'!J2:J65538,"29*",'Accounting data'!K2:K65538,"62*"))+SUM(SUMIFS('Accounting data'!G2:G65538,'Accounting data'!H2:H65538,"1227*",'Accounting data'!I2:I65538,{"1*","2*","3*","4*","5*","6*"},'Accounting data'!J2:J65538,"23*",'Accounting data'!K2:K65538,"62*"))+SUM(SUMIFS('Accounting data'!G2:G65538,'Accounting data'!H2:H65538,"1227*",'Accounting data'!I2:I65538,{"1*","2*","3*","4*","5*","6*"},'Accounting data'!J2:J65538,"25*",'Accounting data'!K2:K65538,"62*"))+SUM(SUMIFS('Accounting data'!G2:G65538,'Accounting data'!H2:H65538,"1227*",'Accounting data'!I2:I65538,{"1*","2*","3*","4*","5*","6*"},'Accounting data'!J2:J65538,"29*",'Accounting data'!K2:K65538,"62*"))+SUM(SUMIFS('Accounting data'!G2:G65538,'Accounting data'!H2:H65538,"1228*",'Accounting data'!I2:I65538,{"1*","2*","3*","4*","5*","6*"},'Accounting data'!J2:J65538,"23*",'Accounting data'!K2:K65538,"62*"))+SUM(SUMIFS('Accounting data'!G2:G65538,'Accounting data'!H2:H65538,"1228*",'Accounting data'!I2:I65538,{"1*","2*","3*","4*","5*","6*"},'Accounting data'!J2:J65538,"25*",'Accounting data'!K2:K65538,"62*"))+SUM(SUMIFS('Accounting data'!G2:G65538,'Accounting data'!H2:H65538,"1228*",'Accounting data'!I2:I65538,{"1*","2*","3*","4*","5*","6*"},'Accounting data'!J2:J65538,"29*",'Accounting data'!K2:K65538,"62*"))</f>
        <v>0</v>
      </c>
      <c r="F12" s="352">
        <f t="array" ref="F12">SUM(SUMIFS('Accounting data'!G2:G65538,'Accounting data'!H2:H65538,"1310-1399-C*",'Accounting data'!I2:I65538,{"1*","2*","3*","4*","5*","6*"},'Accounting data'!J2:J65538,"23*",'Accounting data'!K2:K65538,"63*"))+SUM(SUMIFS('Accounting data'!G2:G65538,'Accounting data'!H2:H65538,"1310-1399-C*",'Accounting data'!I2:I65538,{"1*","2*","3*","4*","5*","6*"},'Accounting data'!J2:J65538,"25*",'Accounting data'!K2:K65538,"63*"))+SUM(SUMIFS('Accounting data'!G2:G65538,'Accounting data'!H2:H65538,"1310-1399-C*",'Accounting data'!I2:I65538,{"1*","2*","3*","4*","5*","6*"},'Accounting data'!J2:J65538,"29*",'Accounting data'!K2:K65538,"63*"))+SUM(SUMIFS('Accounting data'!G2:G65538,'Accounting data'!H2:H65538,"1227*",'Accounting data'!I2:I65538,{"1*","2*","3*","4*","5*","6*"},'Accounting data'!J2:J65538,"23*",'Accounting data'!K2:K65538,"63*"))+SUM(SUMIFS('Accounting data'!G2:G65538,'Accounting data'!H2:H65538,"1227*",'Accounting data'!I2:I65538,{"1*","2*","3*","4*","5*","6*"},'Accounting data'!J2:J65538,"25*",'Accounting data'!K2:K65538,"63*"))+SUM(SUMIFS('Accounting data'!G2:G65538,'Accounting data'!H2:H65538,"1227*",'Accounting data'!I2:I65538,{"1*","2*","3*","4*","5*","6*"},'Accounting data'!J2:J65538,"29*",'Accounting data'!K2:K65538,"63*"))+SUM(SUMIFS('Accounting data'!G2:G65538,'Accounting data'!H2:H65538,"1228*",'Accounting data'!I2:I65538,{"1*","2*","3*","4*","5*","6*"},'Accounting data'!J2:J65538,"23*",'Accounting data'!K2:K65538,"63*"))+SUM(SUMIFS('Accounting data'!G2:G65538,'Accounting data'!H2:H65538,"1228*",'Accounting data'!I2:I65538,{"1*","2*","3*","4*","5*","6*"},'Accounting data'!J2:J65538,"25*",'Accounting data'!K2:K65538,"63*"))+SUM(SUMIFS('Accounting data'!G2:G65538,'Accounting data'!H2:H65538,"1228*",'Accounting data'!I2:I65538,{"1*","2*","3*","4*","5*","6*"},'Accounting data'!J2:J65538,"29*",'Accounting data'!K2:K65538,"63*"))</f>
        <v>0</v>
      </c>
      <c r="G12" s="352">
        <f t="array" ref="G12">SUM(SUMIFS('Accounting data'!G2:G65538,'Accounting data'!H2:H65538,"1310-1399-C*",'Accounting data'!I2:I65538,{"1*","2*","3*","4*","5*","6*"},'Accounting data'!J2:J65538,"23*",'Accounting data'!K2:K65538,"66*"))+SUM(SUMIFS('Accounting data'!G2:G65538,'Accounting data'!H2:H65538,"1310-1399-C*",'Accounting data'!I2:I65538,{"1*","2*","3*","4*","5*","6*"},'Accounting data'!J2:J65538,"25*",'Accounting data'!K2:K65538,"66*"))+SUM(SUMIFS('Accounting data'!G2:G65538,'Accounting data'!H2:H65538,"1310-1399-C*",'Accounting data'!I2:I65538,{"1*","2*","3*","4*","5*","6*"},'Accounting data'!J2:J65538,"29*",'Accounting data'!K2:K65538,"66*"))+SUM(SUMIFS('Accounting data'!G2:G65538,'Accounting data'!H2:H65538,"1227*",'Accounting data'!I2:I65538,{"1*","2*","3*","4*","5*","6*"},'Accounting data'!J2:J65538,"23*",'Accounting data'!K2:K65538,"66*"))+SUM(SUMIFS('Accounting data'!G2:G65538,'Accounting data'!H2:H65538,"1227*",'Accounting data'!I2:I65538,{"1*","2*","3*","4*","5*","6*"},'Accounting data'!J2:J65538,"25*",'Accounting data'!K2:K65538,"66*"))+SUM(SUMIFS('Accounting data'!G2:G65538,'Accounting data'!H2:H65538,"1227*",'Accounting data'!I2:I65538,{"1*","2*","3*","4*","5*","6*"},'Accounting data'!J2:J65538,"29*",'Accounting data'!K2:K65538,"66*"))+SUM(SUMIFS('Accounting data'!G2:G65538,'Accounting data'!H2:H65538,"1228*",'Accounting data'!I2:I65538,{"1*","2*","3*","4*","5*","6*"},'Accounting data'!J2:J65538,"23*",'Accounting data'!K2:K65538,"66*"))+SUM(SUMIFS('Accounting data'!G2:G65538,'Accounting data'!H2:H65538,"1228*",'Accounting data'!I2:I65538,{"1*","2*","3*","4*","5*","6*"},'Accounting data'!J2:J65538,"25*",'Accounting data'!K2:K65538,"66*"))+SUM(SUMIFS('Accounting data'!G2:G65538,'Accounting data'!H2:H65538,"1228*",'Accounting data'!I2:I65538,{"1*","2*","3*","4*","5*","6*"},'Accounting data'!J2:J65538,"29*",'Accounting data'!K2:K65538,"66*"))</f>
        <v>0</v>
      </c>
      <c r="H12" s="352">
        <f t="array" ref="H12">SUM(SUMIFS('Accounting data'!G2:G65538,'Accounting data'!H2:H65538,"1310-1399-C*",'Accounting data'!I2:I65538,{"1*","2*","3*","4*","5*","6*"},'Accounting data'!J2:J65538,"23*",'Accounting data'!K2:K65538,"681*"))+SUM(SUMIFS('Accounting data'!G2:G65538,'Accounting data'!H2:H65538,"1310-1399-C*",'Accounting data'!I2:I65538,{"1*","2*","3*","4*","5*","6*"},'Accounting data'!J2:J65538,"25*",'Accounting data'!K2:K65538,"681*"))+SUM(SUMIFS('Accounting data'!G2:G65538,'Accounting data'!H2:H65538,"1310-1399-C*",'Accounting data'!I2:I65538,{"1*","2*","3*","4*","5*","6*"},'Accounting data'!J2:J65538,"29*",'Accounting data'!K2:K65538,"681*"))+SUM(SUMIFS('Accounting data'!G2:G65538,'Accounting data'!H2:H65538,"1227*",'Accounting data'!I2:I65538,{"1*","2*","3*","4*","5*","6*"},'Accounting data'!J2:J65538,"23*",'Accounting data'!K2:K65538,"681*"))+SUM(SUMIFS('Accounting data'!G2:G65538,'Accounting data'!H2:H65538,"1227*",'Accounting data'!I2:I65538,{"1*","2*","3*","4*","5*","6*"},'Accounting data'!J2:J65538,"25*",'Accounting data'!K2:K65538,"681*"))+SUM(SUMIFS('Accounting data'!G2:G65538,'Accounting data'!H2:H65538,"1227*",'Accounting data'!I2:I65538,{"1*","2*","3*","4*","5*","6*"},'Accounting data'!J2:J65538,"29*",'Accounting data'!K2:K65538,"681*"))+SUM(SUMIFS('Accounting data'!G2:G65538,'Accounting data'!H2:H65538,"1228*",'Accounting data'!I2:I65538,{"1*","2*","3*","4*","5*","6*"},'Accounting data'!J2:J65538,"23*",'Accounting data'!K2:K65538,"681*"))+SUM(SUMIFS('Accounting data'!G2:G65538,'Accounting data'!H2:H65538,"1228*",'Accounting data'!I2:I65538,{"1*","2*","3*","4*","5*","6*"},'Accounting data'!J2:J65538,"25*",'Accounting data'!K2:K65538,"681*"))+SUM(SUMIFS('Accounting data'!G2:G65538,'Accounting data'!H2:H65538,"1228*",'Accounting data'!I2:I65538,{"1*","2*","3*","4*","5*","6*"},'Accounting data'!J2:J65538,"29*",'Accounting data'!K2:K65538,"681*"))</f>
        <v>0</v>
      </c>
      <c r="I12" s="352">
        <f t="array" ref="I12">SUM(SUMIFS('Accounting data'!G2:G65538,'Accounting data'!H2:H65538,"1310-1399-C*",'Accounting data'!I2:I65538,{"1*","2*","3*","4*","5*","6*"},'Accounting data'!J2:J65538,"23*",'Accounting data'!K2:K65538,"682*"))+SUM(SUMIFS('Accounting data'!G2:G65538,'Accounting data'!H2:H65538,"1310-1399-C*",'Accounting data'!I2:I65538,{"1*","2*","3*","4*","5*","6*"},'Accounting data'!J2:J65538,"25*",'Accounting data'!K2:K65538,"682*"))+SUM(SUMIFS('Accounting data'!G2:G65538,'Accounting data'!H2:H65538,"1310-1399-C*",'Accounting data'!I2:I65538,{"1*","2*","3*","4*","5*","6*"},'Accounting data'!J2:J65538,"29*",'Accounting data'!K2:K65538,"682*"))+SUM(SUMIFS('Accounting data'!G2:G65538,'Accounting data'!H2:H65538,"1227*",'Accounting data'!I2:I65538,{"1*","2*","3*","4*","5*","6*"},'Accounting data'!J2:J65538,"23*",'Accounting data'!K2:K65538,"682*"))+SUM(SUMIFS('Accounting data'!G2:G65538,'Accounting data'!H2:H65538,"1227*",'Accounting data'!I2:I65538,{"1*","2*","3*","4*","5*","6*"},'Accounting data'!J2:J65538,"25*",'Accounting data'!K2:K65538,"682*"))+SUM(SUMIFS('Accounting data'!G2:G65538,'Accounting data'!H2:H65538,"1227*",'Accounting data'!I2:I65538,{"1*","2*","3*","4*","5*","6*"},'Accounting data'!J2:J65538,"29*",'Accounting data'!K2:K65538,"682*"))+SUM(SUMIFS('Accounting data'!G2:G65538,'Accounting data'!H2:H65538,"1228*",'Accounting data'!I2:I65538,{"1*","2*","3*","4*","5*","6*"},'Accounting data'!J2:J65538,"23*",'Accounting data'!K2:K65538,"682*"))+SUM(SUMIFS('Accounting data'!G2:G65538,'Accounting data'!H2:H65538,"1228*",'Accounting data'!I2:I65538,{"1*","2*","3*","4*","5*","6*"},'Accounting data'!J2:J65538,"25*",'Accounting data'!K2:K65538,"682*"))+SUM(SUMIFS('Accounting data'!G2:G65538,'Accounting data'!H2:H65538,"1228*",'Accounting data'!I2:I65538,{"1*","2*","3*","4*","5*","6*"},'Accounting data'!J2:J65538,"29*",'Accounting data'!K2:K65538,"682*"))</f>
        <v>0</v>
      </c>
      <c r="J12" s="352">
        <f t="array" ref="J12">SUM(SUMIFS('Accounting data'!G2:G65538,'Accounting data'!H2:H65538,"1310-1399-C*",'Accounting data'!I2:I65538,{"1*","2*","3*","4*","5*","6*"},'Accounting data'!J2:J65538,"23*",'Accounting data'!K2:K65538,"689*"))+SUM(SUMIFS('Accounting data'!G2:G65538,'Accounting data'!H2:H65538,"1310-1399-C*",'Accounting data'!I2:I65538,{"1*","2*","3*","4*","5*","6*"},'Accounting data'!J2:J65538,"25*",'Accounting data'!K2:K65538,"689*"))+SUM(SUMIFS('Accounting data'!G2:G65538,'Accounting data'!H2:H65538,"1310-1399-C*",'Accounting data'!I2:I65538,{"1*","2*","3*","4*","5*","6*"},'Accounting data'!J2:J65538,"29*",'Accounting data'!K2:K65538,"689*"))+SUM(SUMIFS('Accounting data'!G2:G65538,'Accounting data'!H2:H65538,"1227*",'Accounting data'!I2:I65538,{"1*","2*","3*","4*","5*","6*"},'Accounting data'!J2:J65538,"23*",'Accounting data'!K2:K65538,"689*"))+SUM(SUMIFS('Accounting data'!G2:G65538,'Accounting data'!H2:H65538,"1227*",'Accounting data'!I2:I65538,{"1*","2*","3*","4*","5*","6*"},'Accounting data'!J2:J65538,"25*",'Accounting data'!K2:K65538,"689*"))+SUM(SUMIFS('Accounting data'!G2:G65538,'Accounting data'!H2:H65538,"1227*",'Accounting data'!I2:I65538,{"1*","2*","3*","4*","5*","6*"},'Accounting data'!J2:J65538,"29*",'Accounting data'!K2:K65538,"689*"))+SUM(SUMIFS('Accounting data'!G2:G65538,'Accounting data'!H2:H65538,"1228*",'Accounting data'!I2:I65538,{"1*","2*","3*","4*","5*","6*"},'Accounting data'!J2:J65538,"23*",'Accounting data'!K2:K65538,"689*"))+SUM(SUMIFS('Accounting data'!G2:G65538,'Accounting data'!H2:H65538,"1228*",'Accounting data'!I2:I65538,{"1*","2*","3*","4*","5*","6*"},'Accounting data'!J2:J65538,"25*",'Accounting data'!K2:K65538,"689*"))+SUM(SUMIFS('Accounting data'!G2:G65538,'Accounting data'!H2:H65538,"1228*",'Accounting data'!I2:I65538,{"1*","2*","3*","4*","5*","6*"},'Accounting data'!J2:J65538,"29*",'Accounting data'!K2:K65538,"689*"))</f>
        <v>0</v>
      </c>
      <c r="K12" s="352">
        <f t="array" ref="K12">SUM(SUMIFS('Accounting data'!G2:G65538,'Accounting data'!H2:H65538,"1310-1399-C*",'Accounting data'!I2:I65538,{"1*","2*","3*","4*","5*","6*"},'Accounting data'!J2:J65538,"23*",'Accounting data'!K2:K65538,"683*"))+SUM(SUMIFS('Accounting data'!G2:G65538,'Accounting data'!H2:H65538,"1310-1399-C*",'Accounting data'!I2:I65538,{"1*","2*","3*","4*","5*","6*"},'Accounting data'!J2:J65538,"25*",'Accounting data'!K2:K65538,"683*"))+SUM(SUMIFS('Accounting data'!G2:G65538,'Accounting data'!H2:H65538,"1310-1399-C*",'Accounting data'!I2:I65538,{"1*","2*","3*","4*","5*","6*"},'Accounting data'!J2:J65538,"29*",'Accounting data'!K2:K65538,"683*"))+SUM(SUMIFS('Accounting data'!G2:G65538,'Accounting data'!H2:H65538,"1227*",'Accounting data'!I2:I65538,{"1*","2*","3*","4*","5*","6*"},'Accounting data'!J2:J65538,"23*",'Accounting data'!K2:K65538,"683*"))+SUM(SUMIFS('Accounting data'!G2:G65538,'Accounting data'!H2:H65538,"1227*",'Accounting data'!I2:I65538,{"1*","2*","3*","4*","5*","6*"},'Accounting data'!J2:J65538,"25*",'Accounting data'!K2:K65538,"683*"))+SUM(SUMIFS('Accounting data'!G2:G65538,'Accounting data'!H2:H65538,"1227*",'Accounting data'!I2:I65538,{"1*","2*","3*","4*","5*","6*"},'Accounting data'!J2:J65538,"29*",'Accounting data'!K2:K65538,"683*"))+SUM(SUMIFS('Accounting data'!G2:G65538,'Accounting data'!H2:H65538,"1228*",'Accounting data'!I2:I65538,{"1*","2*","3*","4*","5*","6*"},'Accounting data'!J2:J65538,"23*",'Accounting data'!K2:K65538,"683*"))+SUM(SUMIFS('Accounting data'!G2:G65538,'Accounting data'!H2:H65538,"1228*",'Accounting data'!I2:I65538,{"1*","2*","3*","4*","5*","6*"},'Accounting data'!J2:J65538,"25*",'Accounting data'!K2:K65538,"683*"))+SUM(SUMIFS('Accounting data'!G2:G65538,'Accounting data'!H2:H65538,"1228*",'Accounting data'!I2:I65538,{"1*","2*","3*","4*","5*","6*"},'Accounting data'!J2:J65538,"29*",'Accounting data'!K2:K65538,"683*"))</f>
        <v>0</v>
      </c>
      <c r="L12" s="35">
        <v>0</v>
      </c>
      <c r="M12" s="358" cm="1">
        <f t="array" ref="M12">(SUM(SUMIFS('Accounting data'!G2:G65538,'Accounting data'!H2:H65538,"1310-1399-C*",'Accounting data'!I2:I65538,{"7*","8*","9*"},'Accounting data'!J2:J65538,"23*",'Accounting data'!K2:K65538,"6*"))+SUM(SUMIFS('Accounting data'!G2:G65538,'Accounting data'!H2:H65538,"1310-1399-C*",'Accounting data'!I2:I65538,{"7*","8*","9*"},'Accounting data'!J2:J65538,"25*",'Accounting data'!K2:K65538,"6*"))+SUM(SUMIFS('Accounting data'!G2:G65538,'Accounting data'!H2:H65538,"1310-1399-C*",'Accounting data'!I2:I65538,{"7*","8*","9*"},'Accounting data'!J2:J65538,"29*",'Accounting data'!K2:K65538,"6*")))-(SUM(SUMIFS('Accounting data'!G2:G65538,'Accounting data'!H2:H65538,"1310-1399-C*",'Accounting data'!I2:I65538,{"7*","8*","9*"},'Accounting data'!J2:J65538,"23*",'Accounting data'!K2:K65538,"69*"))+SUM(SUMIFS('Accounting data'!G2:G65538,'Accounting data'!H2:H65538,"1310-1399-C*",'Accounting data'!I2:I65538,{"7*","8*","9*"},'Accounting data'!J2:J65538,"25*",'Accounting data'!K2:K65538,"69*"))+SUM(SUMIFS('Accounting data'!G2:G65538,'Accounting data'!H2:H65538,"1310-1399-C*",'Accounting data'!I2:I65538,{"7*","8*","9*"},'Accounting data'!J2:J65538,"29*",'Accounting data'!K2:K65538,"69*")))+(SUM(SUMIFS('Accounting data'!G2:G65538,'Accounting data'!H2:H65538,"1227*",'Accounting data'!I2:I65538,{"7*","8*","9*"},'Accounting data'!J2:J65538,"23*",'Accounting data'!K2:K65538,"6*"))+SUM(SUMIFS('Accounting data'!G2:G65538,'Accounting data'!H2:H65538,"1227*",'Accounting data'!I2:I65538,{"7*","8*","9*"},'Accounting data'!J2:J65538,"25*",'Accounting data'!K2:K65538,"6*"))+SUM(SUMIFS('Accounting data'!G2:G65538,'Accounting data'!H2:H65538,"1227*",'Accounting data'!I2:I65538,{"7*","8*","9*"},'Accounting data'!J2:J65538,"29*",'Accounting data'!K2:K65538,"6*")))-(SUM(SUMIFS('Accounting data'!G2:G65538,'Accounting data'!H2:H65538,"1227*",'Accounting data'!I2:I65538,{"7*","8*","9*"},'Accounting data'!J2:J65538,"23*",'Accounting data'!K2:K65538,"69*"))+SUM(SUMIFS('Accounting data'!G2:G65538,'Accounting data'!H2:H65538,"1227*",'Accounting data'!I2:I65538,{"7*","8*","9*"},'Accounting data'!J2:J65538,"25*",'Accounting data'!K2:K65538,"69*"))+SUM(SUMIFS('Accounting data'!G2:G65538,'Accounting data'!H2:H65538,"1227*",'Accounting data'!I2:I65538,{"7*","8*","9*"},'Accounting data'!J2:J65538,"29*",'Accounting data'!K2:K65538,"69*")))+AA12</f>
        <v>0</v>
      </c>
      <c r="N12" s="354">
        <f t="shared" si="0"/>
        <v>0</v>
      </c>
      <c r="O12" s="355"/>
      <c r="AA12" s="359">
        <f t="array" ref="AA12">(SUM(SUMIFS('Accounting data'!G2:G65538,'Accounting data'!H2:H65538,"1228*",'Accounting data'!I2:I65538,{"7*","8*","9*"},'Accounting data'!J2:J65538,"23*",'Accounting data'!K2:K65538,"6*"))+SUM(SUMIFS('Accounting data'!G2:G65538,'Accounting data'!H2:H65538,"1228*",'Accounting data'!I2:I65538,{"7*","8*","9*"},'Accounting data'!J2:J65538,"25*",'Accounting data'!K2:K65538,"6*"))+SUM(SUMIFS('Accounting data'!G2:G65538,'Accounting data'!H2:H65538,"1228*",'Accounting data'!I2:I65538,{"7*","8*","9*"},'Accounting data'!J2:J65538,"29*",'Accounting data'!K2:K65538,"6*")))-(SUM(SUMIFS('Accounting data'!G2:G65538,'Accounting data'!H2:H65538,"1228*",'Accounting data'!I2:I65538,{"7*","8*","9*"},'Accounting data'!J2:J65538,"23*",'Accounting data'!K2:K65538,"69*"))+SUM(SUMIFS('Accounting data'!G2:G65538,'Accounting data'!H2:H65538,"1228*",'Accounting data'!I2:I65538,{"7*","8*","9*"},'Accounting data'!J2:J65538,"25*",'Accounting data'!K2:K65538,"69*"))+SUM(SUMIFS('Accounting data'!G2:G65538,'Accounting data'!H2:H65538,"1228*",'Accounting data'!I2:I65538,{"7*","8*","9*"},'Accounting data'!J2:J65538,"29*",'Accounting data'!K2:K65538,"69*")))</f>
        <v>0</v>
      </c>
    </row>
    <row r="13" spans="1:27" x14ac:dyDescent="0.2">
      <c r="A13" s="360" t="s">
        <v>202</v>
      </c>
      <c r="B13" s="361"/>
      <c r="C13" s="362" t="s">
        <v>31</v>
      </c>
      <c r="D13" s="352">
        <f t="array" ref="D13">SUM(SUMIFS('Accounting data'!G2:G65538,'Accounting data'!H2:H65538,"1310-1399-C*",'Accounting data'!I2:I65538,{"1*","2*","3*","4*","5*","6*"},'Accounting data'!J2:J65538,"24*",'Accounting data'!K2:K65538,"61*"))+SUM(SUMIFS('Accounting data'!G2:G65538,'Accounting data'!H2:H65538,"1227*",'Accounting data'!I2:I65538,{"1*","2*","3*","4*","5*","6*"},'Accounting data'!J2:J65538,"24*",'Accounting data'!K2:K65538,"61*"))+SUM(SUMIFS('Accounting data'!G2:G65538,'Accounting data'!H2:H65538,"1228*",'Accounting data'!I2:I65538,{"1*","2*","3*","4*","5*","6*"},'Accounting data'!J2:J65538,"24*",'Accounting data'!K2:K65538,"61*"))</f>
        <v>0</v>
      </c>
      <c r="E13" s="352">
        <f t="array" ref="E13">SUM(SUMIFS('Accounting data'!G2:G65538,'Accounting data'!H2:H65538,"1310-1399-C*",'Accounting data'!I2:I65538,{"1*","2*","3*","4*","5*","6*"},'Accounting data'!J2:J65538,"24*",'Accounting data'!K2:K65538,"62*"))+SUM(SUMIFS('Accounting data'!G2:G65538,'Accounting data'!H2:H65538,"1227*",'Accounting data'!I2:I65538,{"1*","2*","3*","4*","5*","6*"},'Accounting data'!J2:J65538,"24*",'Accounting data'!K2:K65538,"62*"))+SUM(SUMIFS('Accounting data'!G2:G65538,'Accounting data'!H2:H65538,"1228*",'Accounting data'!I2:I65538,{"1*","2*","3*","4*","5*","6*"},'Accounting data'!J2:J65538,"24*",'Accounting data'!K2:K65538,"62*"))</f>
        <v>0</v>
      </c>
      <c r="F13" s="352">
        <f t="array" ref="F13">SUM(SUMIFS('Accounting data'!G2:G65538,'Accounting data'!H2:H65538,"1310-1399-C*",'Accounting data'!I2:I65538,{"1*","2*","3*","4*","5*","6*"},'Accounting data'!J2:J65538,"24*",'Accounting data'!K2:K65538,"63*"))+SUM(SUMIFS('Accounting data'!G2:G65538,'Accounting data'!H2:H65538,"1227*",'Accounting data'!I2:I65538,{"1*","2*","3*","4*","5*","6*"},'Accounting data'!J2:J65538,"24*",'Accounting data'!K2:K65538,"63*"))+SUM(SUMIFS('Accounting data'!G2:G65538,'Accounting data'!H2:H65538,"1228*",'Accounting data'!I2:I65538,{"1*","2*","3*","4*","5*","6*"},'Accounting data'!J2:J65538,"24*",'Accounting data'!K2:K65538,"63*"))</f>
        <v>0</v>
      </c>
      <c r="G13" s="352">
        <f t="array" ref="G13">SUM(SUMIFS('Accounting data'!G2:G65538,'Accounting data'!H2:H65538,"1310-1399-C*",'Accounting data'!I2:I65538,{"1*","2*","3*","4*","5*","6*"},'Accounting data'!J2:J65538,"24*",'Accounting data'!K2:K65538,"66*"))+SUM(SUMIFS('Accounting data'!G2:G65538,'Accounting data'!H2:H65538,"1227*",'Accounting data'!I2:I65538,{"1*","2*","3*","4*","5*","6*"},'Accounting data'!J2:J65538,"24*",'Accounting data'!K2:K65538,"66*"))+SUM(SUMIFS('Accounting data'!G2:G65538,'Accounting data'!H2:H65538,"1228*",'Accounting data'!I2:I65538,{"1*","2*","3*","4*","5*","6*"},'Accounting data'!J2:J65538,"24*",'Accounting data'!K2:K65538,"66*"))</f>
        <v>0</v>
      </c>
      <c r="H13" s="352">
        <f t="array" ref="H13">SUM(SUMIFS('Accounting data'!G2:G65538,'Accounting data'!H2:H65538,"1310-1399-C*",'Accounting data'!I2:I65538,{"1*","2*","3*","4*","5*","6*"},'Accounting data'!J2:J65538,"24*",'Accounting data'!K2:K65538,"681*"))+SUM(SUMIFS('Accounting data'!G2:G65538,'Accounting data'!H2:H65538,"1227*",'Accounting data'!I2:I65538,{"1*","2*","3*","4*","5*","6*"},'Accounting data'!J2:J65538,"24*",'Accounting data'!K2:K65538,"681*"))+SUM(SUMIFS('Accounting data'!G2:G65538,'Accounting data'!H2:H65538,"1228*",'Accounting data'!I2:I65538,{"1*","2*","3*","4*","5*","6*"},'Accounting data'!J2:J65538,"24*",'Accounting data'!K2:K65538,"681*"))</f>
        <v>0</v>
      </c>
      <c r="I13" s="353"/>
      <c r="J13" s="352">
        <f t="array" ref="J13">SUM(SUMIFS('Accounting data'!G2:G65538,'Accounting data'!H2:H65538,"1310-1399-C*",'Accounting data'!I2:I65538,{"1*","2*","3*","4*","5*","6*"},'Accounting data'!J2:J65538,"24*",'Accounting data'!K2:K65538,"689*"))+SUM(SUMIFS('Accounting data'!G2:G65538,'Accounting data'!H2:H65538,"1227*",'Accounting data'!I2:I65538,{"1*","2*","3*","4*","5*","6*"},'Accounting data'!J2:J65538,"24*",'Accounting data'!K2:K65538,"689*"))+SUM(SUMIFS('Accounting data'!G2:G65538,'Accounting data'!H2:H65538,"1228*",'Accounting data'!I2:I65538,{"1*","2*","3*","4*","5*","6*"},'Accounting data'!J2:J65538,"24*",'Accounting data'!K2:K65538,"689*"))</f>
        <v>0</v>
      </c>
      <c r="K13" s="352">
        <f t="array" ref="K13">SUM(SUMIFS('Accounting data'!G2:G65538,'Accounting data'!H2:H65538,"1310-1399-C*",'Accounting data'!I2:I65538,{"1*","2*","3*","4*","5*","6*"},'Accounting data'!J2:J65538,"24*",'Accounting data'!K2:K65538,"683*"))+SUM(SUMIFS('Accounting data'!G2:G65538,'Accounting data'!H2:H65538,"1227*",'Accounting data'!I2:I65538,{"1*","2*","3*","4*","5*","6*"},'Accounting data'!J2:J65538,"24*",'Accounting data'!K2:K65538,"683*"))+SUM(SUMIFS('Accounting data'!G2:G65538,'Accounting data'!H2:H65538,"1228*",'Accounting data'!I2:I65538,{"1*","2*","3*","4*","5*","6*"},'Accounting data'!J2:J65538,"24*",'Accounting data'!K2:K65538,"683*"))</f>
        <v>0</v>
      </c>
      <c r="L13" s="35">
        <v>0</v>
      </c>
      <c r="M13" s="352" cm="1">
        <f t="array" ref="M13">SUM(SUMIFS('Accounting data'!G2:G65538,'Accounting data'!H2:H65538,"1310-1399-C*",'Accounting data'!I2:I65538,{"7*","8*","9*"},'Accounting data'!J2:J65538,"24*",'Accounting data'!K2:K65538,"6*"))-SUM(SUMIFS('Accounting data'!G2:G65538,'Accounting data'!H2:H65538,"1310-1399-C*",'Accounting data'!I2:I65538,{"7*","8*","9*"},'Accounting data'!J2:J65538,"24*",'Accounting data'!K2:K65538,"69*"))+SUM(SUMIFS('Accounting data'!G2:G65538,'Accounting data'!H2:H65538,"1227*",'Accounting data'!I2:I65538,{"7*","8*","9*"},'Accounting data'!J2:J65538,"24*",'Accounting data'!K2:K65538,"6*"))-SUM(SUMIFS('Accounting data'!G2:G65538,'Accounting data'!H2:H65538,"1227*",'Accounting data'!I2:I65538,{"7*","8*","9*"},'Accounting data'!J2:J65538,"24*",'Accounting data'!K2:K65538,"69*"))+SUM(SUMIFS('Accounting data'!G2:G65538,'Accounting data'!H2:H65538,"1228*",'Accounting data'!I2:I65538,{"7*","8*","9*"},'Accounting data'!J2:J65538,"24*",'Accounting data'!K2:K65538,"6*"))-SUM(SUMIFS('Accounting data'!G2:G65538,'Accounting data'!H2:H65538,"1228*",'Accounting data'!I2:I65538,{"7*","8*","9*"},'Accounting data'!J2:J65538,"24*",'Accounting data'!K2:K65538,"69*"))+(SUM(SUMIFS('Accounting data'!G2:G65538,'Accounting data'!H2:H65538,"1227*",'Accounting data'!I2:I65538,{"7*","8*","9*"},'Accounting data'!J2:J65538,"23*",'Accounting data'!K2:K65538,"6*"))+SUM(SUMIFS('Accounting data'!G2:G65538,'Accounting data'!H2:H65538,"1227*",'Accounting data'!I2:I65538,{"7*","8*","9*"},'Accounting data'!J2:J65538,"25*",'Accounting data'!K2:K65538,"6*"))+SUM(SUMIFS('Accounting data'!G2:G65538,'Accounting data'!H2:H65538,"1227*",'Accounting data'!I2:I65538,{"7*","8*","9*"},'Accounting data'!J2:J65538,"29*",'Accounting data'!K2:K65538,"6*")))-(SUM(SUMIFS('Accounting data'!G2:G65538,'Accounting data'!H2:H65538,"1227*",'Accounting data'!I2:I65538,{"7*","8*","9*"},'Accounting data'!J2:J65538,"23*",'Accounting data'!K2:K65538,"69*"))+SUM(SUMIFS('Accounting data'!G2:G65538,'Accounting data'!H2:H65538,"1227*",'Accounting data'!I2:I65538,{"7*","8*","9*"},'Accounting data'!J2:J65538,"25*",'Accounting data'!K2:K65538,"69*"))+SUM(SUMIFS('Accounting data'!G2:G65538,'Accounting data'!H2:H65538,"1227*",'Accounting data'!I2:I65538,{"7*","8*","9*"},'Accounting data'!J2:J65538,"29*",'Accounting data'!K2:K65538,"69*")))</f>
        <v>0</v>
      </c>
      <c r="N13" s="354">
        <f t="shared" si="0"/>
        <v>0</v>
      </c>
      <c r="O13" s="363"/>
    </row>
    <row r="14" spans="1:27" x14ac:dyDescent="0.2">
      <c r="A14" s="356" t="s">
        <v>428</v>
      </c>
      <c r="B14" s="584"/>
      <c r="C14" s="362" t="s">
        <v>33</v>
      </c>
      <c r="D14" s="352">
        <f t="array" ref="D14">SUM(SUMIFS('Accounting data'!G2:G65538,'Accounting data'!H2:H65538,"1310-1399-C*",'Accounting data'!I2:I65538,{"1*","2*","3*","4*","5*","6*"},'Accounting data'!J2:J65538,"26*",'Accounting data'!K2:K65538,"61*"))+SUM(SUMIFS('Accounting data'!G2:G65538,'Accounting data'!H2:H65538,"1227*",'Accounting data'!I2:I65538,{"1*","2*","3*","4*","5*","6*"},'Accounting data'!J2:J65538,"26*",'Accounting data'!K2:K65538,"61*"))+SUM(SUMIFS('Accounting data'!G2:G65538,'Accounting data'!H2:H65538,"1228*",'Accounting data'!I2:I65538,{"1*","2*","3*","4*","5*","6*"},'Accounting data'!J2:J65538,"26*",'Accounting data'!K2:K65538,"61*"))</f>
        <v>0</v>
      </c>
      <c r="E14" s="352">
        <f t="array" ref="E14">SUM(SUMIFS('Accounting data'!G2:G65538,'Accounting data'!H2:H65538,"1310-1399-C*",'Accounting data'!I2:I65538,{"1*","2*","3*","4*","5*","6*"},'Accounting data'!J2:J65538,"26*",'Accounting data'!K2:K65538,"62*"))+SUM(SUMIFS('Accounting data'!G2:G65538,'Accounting data'!H2:H65538,"1227*",'Accounting data'!I2:I65538,{"1*","2*","3*","4*","5*","6*"},'Accounting data'!J2:J65538,"26*",'Accounting data'!K2:K65538,"62*"))+SUM(SUMIFS('Accounting data'!G2:G65538,'Accounting data'!H2:H65538,"1228*",'Accounting data'!I2:I65538,{"1*","2*","3*","4*","5*","6*"},'Accounting data'!J2:J65538,"26*",'Accounting data'!K2:K65538,"62*"))</f>
        <v>0</v>
      </c>
      <c r="F14" s="352">
        <f t="array" ref="F14">SUM(SUMIFS('Accounting data'!G2:G65538,'Accounting data'!H2:H65538,"1310-1399-C*",'Accounting data'!I2:I65538,{"1*","2*","3*","4*","5*","6*"},'Accounting data'!J2:J65538,"26*",'Accounting data'!K2:K65538,"63*"))+SUM(SUMIFS('Accounting data'!G2:G65538,'Accounting data'!H2:H65538,"1227*",'Accounting data'!I2:I65538,{"1*","2*","3*","4*","5*","6*"},'Accounting data'!J2:J65538,"26*",'Accounting data'!K2:K65538,"63*"))+SUM(SUMIFS('Accounting data'!G2:G65538,'Accounting data'!H2:H65538,"1228*",'Accounting data'!I2:I65538,{"1*","2*","3*","4*","5*","6*"},'Accounting data'!J2:J65538,"26*",'Accounting data'!K2:K65538,"63*"))</f>
        <v>0</v>
      </c>
      <c r="G14" s="352">
        <f t="array" ref="G14">SUM(SUMIFS('Accounting data'!G2:G65538,'Accounting data'!H2:H65538,"1310-1399-C*",'Accounting data'!I2:I65538,{"1*","2*","3*","4*","5*","6*"},'Accounting data'!J2:J65538,"26*",'Accounting data'!K2:K65538,"66*"))+SUM(SUMIFS('Accounting data'!G2:G65538,'Accounting data'!H2:H65538,"1227*",'Accounting data'!I2:I65538,{"1*","2*","3*","4*","5*","6*"},'Accounting data'!J2:J65538,"26*",'Accounting data'!K2:K65538,"66*"))+SUM(SUMIFS('Accounting data'!G2:G65538,'Accounting data'!H2:H65538,"1228*",'Accounting data'!I2:I65538,{"1*","2*","3*","4*","5*","6*"},'Accounting data'!J2:J65538,"26*",'Accounting data'!K2:K65538,"66*"))</f>
        <v>0</v>
      </c>
      <c r="H14" s="352">
        <f t="array" ref="H14">SUM(SUMIFS('Accounting data'!G2:G65538,'Accounting data'!H2:H65538,"1310-1399-C*",'Accounting data'!I2:I65538,{"1*","2*","3*","4*","5*","6*"},'Accounting data'!J2:J65538,"26*",'Accounting data'!K2:K65538,"681*"))+SUM(SUMIFS('Accounting data'!G2:G65538,'Accounting data'!H2:H65538,"1227*",'Accounting data'!I2:I65538,{"1*","2*","3*","4*","5*","6*"},'Accounting data'!J2:J65538,"26*",'Accounting data'!K2:K65538,"681*"))+SUM(SUMIFS('Accounting data'!G2:G65538,'Accounting data'!H2:H65538,"1228*",'Accounting data'!I2:I65538,{"1*","2*","3*","4*","5*","6*"},'Accounting data'!J2:J65538,"26*",'Accounting data'!K2:K65538,"681*"))</f>
        <v>0</v>
      </c>
      <c r="I14" s="353"/>
      <c r="J14" s="352">
        <f t="array" ref="J14">SUM(SUMIFS('Accounting data'!G2:G65538,'Accounting data'!H2:H65538,"1310-1399-C*",'Accounting data'!I2:I65538,{"1*","2*","3*","4*","5*","6*"},'Accounting data'!J2:J65538,"26*",'Accounting data'!K2:K65538,"689*"))+SUM(SUMIFS('Accounting data'!G2:G65538,'Accounting data'!H2:H65538,"1227*",'Accounting data'!I2:I65538,{"1*","2*","3*","4*","5*","6*"},'Accounting data'!J2:J65538,"26*",'Accounting data'!K2:K65538,"689*"))+SUM(SUMIFS('Accounting data'!G2:G65538,'Accounting data'!H2:H65538,"1228*",'Accounting data'!I2:I65538,{"1*","2*","3*","4*","5*","6*"},'Accounting data'!J2:J65538,"26*",'Accounting data'!K2:K65538,"689*"))</f>
        <v>0</v>
      </c>
      <c r="K14" s="352">
        <f t="array" ref="K14">SUM(SUMIFS('Accounting data'!G2:G65538,'Accounting data'!H2:H65538,"1310-1399-C*",'Accounting data'!I2:I65538,{"1*","2*","3*","4*","5*","6*"},'Accounting data'!J2:J65538,"26*",'Accounting data'!K2:K65538,"683*"))+SUM(SUMIFS('Accounting data'!G2:G65538,'Accounting data'!H2:H65538,"1227*",'Accounting data'!I2:I65538,{"1*","2*","3*","4*","5*","6*"},'Accounting data'!J2:J65538,"26*",'Accounting data'!K2:K65538,"683*"))+SUM(SUMIFS('Accounting data'!G2:G65538,'Accounting data'!H2:H65538,"1228*",'Accounting data'!I2:I65538,{"1*","2*","3*","4*","5*","6*"},'Accounting data'!J2:J65538,"26*",'Accounting data'!K2:K65538,"683*"))</f>
        <v>0</v>
      </c>
      <c r="L14" s="35">
        <v>0</v>
      </c>
      <c r="M14" s="352" cm="1">
        <f t="array" ref="M14">SUM(SUMIFS('Accounting data'!G2:G65538,'Accounting data'!H2:H65538,"1310-1399-C*",'Accounting data'!I2:I65538,{"7*","8*","9*"},'Accounting data'!J2:J65538,"26*",'Accounting data'!K2:K65538,"6*"))-SUM(SUMIFS('Accounting data'!G2:G65538,'Accounting data'!H2:H65538,"1310-1399-C*",'Accounting data'!I2:I65538,{"7*","8*","9*"},'Accounting data'!J2:J65538,"26*",'Accounting data'!K2:K65538,"69*"))+SUM(SUMIFS('Accounting data'!G2:G65538,'Accounting data'!H2:H65538,"1227*",'Accounting data'!I2:I65538,{"7*","8*","9*"},'Accounting data'!J2:J65538,"26*",'Accounting data'!K2:K65538,"6*"))-SUM(SUMIFS('Accounting data'!G2:G65538,'Accounting data'!H2:H65538,"1227*",'Accounting data'!I2:I65538,{"7*","8*","9*"},'Accounting data'!J2:J65538,"26*",'Accounting data'!K2:K65538,"69*"))+SUM(SUMIFS('Accounting data'!G2:G65538,'Accounting data'!H2:H65538,"1228*",'Accounting data'!I2:I65538,{"7*","8*","9*"},'Accounting data'!J2:J65538,"26*",'Accounting data'!K2:K65538,"6*"))-SUM(SUMIFS('Accounting data'!G2:G65538,'Accounting data'!H2:H65538,"1228*",'Accounting data'!I2:I65538,{"7*","8*","9*"},'Accounting data'!J2:J65538,"26*",'Accounting data'!K2:K65538,"69*"))</f>
        <v>0</v>
      </c>
      <c r="N14" s="354">
        <f t="shared" si="0"/>
        <v>0</v>
      </c>
      <c r="O14" s="363"/>
    </row>
    <row r="15" spans="1:27" x14ac:dyDescent="0.2">
      <c r="A15" s="364" t="s">
        <v>208</v>
      </c>
      <c r="B15" s="365"/>
      <c r="C15" s="362" t="s">
        <v>35</v>
      </c>
      <c r="D15" s="352">
        <f t="array" ref="D15">SUM(SUMIFS('Accounting data'!G2:G65538,'Accounting data'!H2:H65538,"1310-1399-C*",'Accounting data'!I2:I65538,{"1*","2*","3*","4*","5*","6*"},'Accounting data'!J2:J65538,"27*",'Accounting data'!K2:K65538,"61*"))+SUM(SUMIFS('Accounting data'!G2:G65538,'Accounting data'!H2:H65538,"1227*",'Accounting data'!I2:I65538,{"1*","2*","3*","4*","5*","6*"},'Accounting data'!J2:J65538,"27*",'Accounting data'!K2:K65538,"61*"))+SUM(SUMIFS('Accounting data'!G2:G65538,'Accounting data'!H2:H65538,"1228*",'Accounting data'!I2:I65538,{"1*","2*","3*","4*","5*","6*"},'Accounting data'!J2:J65538,"27*",'Accounting data'!K2:K65538,"61*"))</f>
        <v>0</v>
      </c>
      <c r="E15" s="352">
        <f t="array" ref="E15">SUM(SUMIFS('Accounting data'!G2:G65538,'Accounting data'!H2:H65538,"1310-1399-C*",'Accounting data'!I2:I65538,{"1*","2*","3*","4*","5*","6*"},'Accounting data'!J2:J65538,"27*",'Accounting data'!K2:K65538,"62*"))+SUM(SUMIFS('Accounting data'!G2:G65538,'Accounting data'!H2:H65538,"1227*",'Accounting data'!I2:I65538,{"1*","2*","3*","4*","5*","6*"},'Accounting data'!J2:J65538,"27*",'Accounting data'!K2:K65538,"62*"))+SUM(SUMIFS('Accounting data'!G2:G65538,'Accounting data'!H2:H65538,"1228*",'Accounting data'!I2:I65538,{"1*","2*","3*","4*","5*","6*"},'Accounting data'!J2:J65538,"27*",'Accounting data'!K2:K65538,"62*"))</f>
        <v>0</v>
      </c>
      <c r="F15" s="352">
        <f t="array" ref="F15">SUM(SUMIFS('Accounting data'!G2:G65538,'Accounting data'!H2:H65538,"1310-1399-C*",'Accounting data'!I2:I65538,{"1*","2*","3*","4*","5*","6*"},'Accounting data'!J2:J65538,"27*",'Accounting data'!K2:K65538,"63*"))+SUM(SUMIFS('Accounting data'!G2:G65538,'Accounting data'!H2:H65538,"1227*",'Accounting data'!I2:I65538,{"1*","2*","3*","4*","5*","6*"},'Accounting data'!J2:J65538,"27*",'Accounting data'!K2:K65538,"63*"))+SUM(SUMIFS('Accounting data'!G2:G65538,'Accounting data'!H2:H65538,"1228*",'Accounting data'!I2:I65538,{"1*","2*","3*","4*","5*","6*"},'Accounting data'!J2:J65538,"27*",'Accounting data'!K2:K65538,"63*"))</f>
        <v>0</v>
      </c>
      <c r="G15" s="352">
        <f t="array" ref="G15">SUM(SUMIFS('Accounting data'!G2:G65538,'Accounting data'!H2:H65538,"1310-1399-C*",'Accounting data'!I2:I65538,{"1*","2*","3*","4*","5*","6*"},'Accounting data'!J2:J65538,"27*",'Accounting data'!K2:K65538,"66*"))+SUM(SUMIFS('Accounting data'!G2:G65538,'Accounting data'!H2:H65538,"1227*",'Accounting data'!I2:I65538,{"1*","2*","3*","4*","5*","6*"},'Accounting data'!J2:J65538,"27*",'Accounting data'!K2:K65538,"66*"))+SUM(SUMIFS('Accounting data'!G2:G65538,'Accounting data'!H2:H65538,"1228*",'Accounting data'!I2:I65538,{"1*","2*","3*","4*","5*","6*"},'Accounting data'!J2:J65538,"27*",'Accounting data'!K2:K65538,"66*"))</f>
        <v>0</v>
      </c>
      <c r="H15" s="352">
        <f t="array" ref="H15">SUM(SUMIFS('Accounting data'!G2:G65538,'Accounting data'!H2:H65538,"1310-1399-C*",'Accounting data'!I2:I65538,{"1*","2*","3*","4*","5*","6*"},'Accounting data'!J2:J65538,"27*",'Accounting data'!K2:K65538,"681*"))+SUM(SUMIFS('Accounting data'!G2:G65538,'Accounting data'!H2:H65538,"1227*",'Accounting data'!I2:I65538,{"1*","2*","3*","4*","5*","6*"},'Accounting data'!J2:J65538,"27*",'Accounting data'!K2:K65538,"681*"))+SUM(SUMIFS('Accounting data'!G2:G65538,'Accounting data'!H2:H65538,"1228*",'Accounting data'!I2:I65538,{"1*","2*","3*","4*","5*","6*"},'Accounting data'!J2:J65538,"27*",'Accounting data'!K2:K65538,"681*"))</f>
        <v>0</v>
      </c>
      <c r="I15" s="353"/>
      <c r="J15" s="352">
        <f t="array" ref="J15">SUM(SUMIFS('Accounting data'!G2:G65538,'Accounting data'!H2:H65538,"1310-1399-C*",'Accounting data'!I2:I65538,{"1*","2*","3*","4*","5*","6*"},'Accounting data'!J2:J65538,"27*",'Accounting data'!K2:K65538,"689*"))+SUM(SUMIFS('Accounting data'!G2:G65538,'Accounting data'!H2:H65538,"1227*",'Accounting data'!I2:I65538,{"1*","2*","3*","4*","5*","6*"},'Accounting data'!J2:J65538,"27*",'Accounting data'!K2:K65538,"689*"))+SUM(SUMIFS('Accounting data'!G2:G65538,'Accounting data'!H2:H65538,"1228*",'Accounting data'!I2:I65538,{"1*","2*","3*","4*","5*","6*"},'Accounting data'!J2:J65538,"27*",'Accounting data'!K2:K65538,"689*"))</f>
        <v>0</v>
      </c>
      <c r="K15" s="352">
        <f t="array" ref="K15">SUM(SUMIFS('Accounting data'!G2:G65538,'Accounting data'!H2:H65538,"1310-1399-C*",'Accounting data'!I2:I65538,{"1*","2*","3*","4*","5*","6*"},'Accounting data'!J2:J65538,"27*",'Accounting data'!K2:K65538,"683*"))+SUM(SUMIFS('Accounting data'!G2:G65538,'Accounting data'!H2:H65538,"1227*",'Accounting data'!I2:I65538,{"1*","2*","3*","4*","5*","6*"},'Accounting data'!J2:J65538,"27*",'Accounting data'!K2:K65538,"683*"))+SUM(SUMIFS('Accounting data'!G2:G65538,'Accounting data'!H2:H65538,"1228*",'Accounting data'!I2:I65538,{"1*","2*","3*","4*","5*","6*"},'Accounting data'!J2:J65538,"27*",'Accounting data'!K2:K65538,"683*"))</f>
        <v>0</v>
      </c>
      <c r="L15" s="35">
        <v>0</v>
      </c>
      <c r="M15" s="352" cm="1">
        <f t="array" ref="M15">SUM(SUMIFS('Accounting data'!G2:G65538,'Accounting data'!H2:H65538,"1310-1399-C*",'Accounting data'!I2:I65538,{"7*","8*","9*"},'Accounting data'!J2:J65538,"27*",'Accounting data'!K2:K65538,"6*"))-SUM(SUMIFS('Accounting data'!G2:G65538,'Accounting data'!H2:H65538,"1310-1399-C*",'Accounting data'!I2:I65538,{"7*","8*","9*"},'Accounting data'!J2:J65538,"27*",'Accounting data'!K2:K65538,"69*"))+SUM(SUMIFS('Accounting data'!G2:G65538,'Accounting data'!H2:H65538,"1227*",'Accounting data'!I2:I65538,{"7*","8*","9*"},'Accounting data'!J2:J65538,"27*",'Accounting data'!K2:K65538,"6*"))-SUM(SUMIFS('Accounting data'!G2:G65538,'Accounting data'!H2:H65538,"1227*",'Accounting data'!I2:I65538,{"7*","8*","9*"},'Accounting data'!J2:J65538,"27*",'Accounting data'!K2:K65538,"69*"))+SUM(SUMIFS('Accounting data'!G2:G65538,'Accounting data'!H2:H65538,"1228*",'Accounting data'!I2:I65538,{"7*","8*","9*"},'Accounting data'!J2:J65538,"27*",'Accounting data'!K2:K65538,"6*"))-SUM(SUMIFS('Accounting data'!G2:G65538,'Accounting data'!H2:H65538,"1228*",'Accounting data'!I2:I65538,{"7*","8*","9*"},'Accounting data'!J2:J65538,"27*",'Accounting data'!K2:K65538,"69*"))</f>
        <v>0</v>
      </c>
      <c r="N15" s="354">
        <f t="shared" si="0"/>
        <v>0</v>
      </c>
      <c r="O15" s="363"/>
    </row>
    <row r="16" spans="1:27" x14ac:dyDescent="0.2">
      <c r="A16" s="364" t="s">
        <v>429</v>
      </c>
      <c r="B16" s="365"/>
      <c r="C16" s="362" t="s">
        <v>36</v>
      </c>
      <c r="D16" s="352">
        <f t="array" ref="D16">SUM(SUMIFS('Accounting data'!G2:G65538,'Accounting data'!H2:H65538,"1310-1399-C*",'Accounting data'!I2:I65538,{"1*","2*","3*","4*","5*","6*"},'Accounting data'!J2:J65538,"31*",'Accounting data'!K2:K65538,"61*"))+SUM(SUMIFS('Accounting data'!G2:G65538,'Accounting data'!H2:H65538,"1227*",'Accounting data'!I2:I65538,{"1*","2*","3*","4*","5*","6*"},'Accounting data'!J2:J65538,"31*",'Accounting data'!K2:K65538,"61*"))+SUM(SUMIFS('Accounting data'!G2:G65538,'Accounting data'!H2:H65538,"1228*",'Accounting data'!I2:I65538,{"1*","2*","3*","4*","5*","6*"},'Accounting data'!J2:J65538,"31*",'Accounting data'!K2:K65538,"61*"))</f>
        <v>0</v>
      </c>
      <c r="E16" s="352">
        <f t="array" ref="E16">SUM(SUMIFS('Accounting data'!G2:G65538,'Accounting data'!H2:H65538,"1310-1399-C*",'Accounting data'!I2:I65538,{"1*","2*","3*","4*","5*","6*"},'Accounting data'!J2:J65538,"31*",'Accounting data'!K2:K65538,"62*"))+SUM(SUMIFS('Accounting data'!G2:G65538,'Accounting data'!H2:H65538,"1227*",'Accounting data'!I2:I65538,{"1*","2*","3*","4*","5*","6*"},'Accounting data'!J2:J65538,"31*",'Accounting data'!K2:K65538,"62*"))+SUM(SUMIFS('Accounting data'!G2:G65538,'Accounting data'!H2:H65538,"1228*",'Accounting data'!I2:I65538,{"1*","2*","3*","4*","5*","6*"},'Accounting data'!J2:J65538,"31*",'Accounting data'!K2:K65538,"62*"))</f>
        <v>0</v>
      </c>
      <c r="F16" s="352">
        <f t="array" ref="F16">SUM(SUMIFS('Accounting data'!G2:G65538,'Accounting data'!H2:H65538,"1310-1399-C*",'Accounting data'!I2:I65538,{"1*","2*","3*","4*","5*","6*"},'Accounting data'!J2:J65538,"31*",'Accounting data'!K2:K65538,"63*"))+SUM(SUMIFS('Accounting data'!G2:G65538,'Accounting data'!H2:H65538,"1227*",'Accounting data'!I2:I65538,{"1*","2*","3*","4*","5*","6*"},'Accounting data'!J2:J65538,"31*",'Accounting data'!K2:K65538,"63*"))+SUM(SUMIFS('Accounting data'!G2:G65538,'Accounting data'!H2:H65538,"1228*",'Accounting data'!I2:I65538,{"1*","2*","3*","4*","5*","6*"},'Accounting data'!J2:J65538,"31*",'Accounting data'!K2:K65538,"63*"))</f>
        <v>0</v>
      </c>
      <c r="G16" s="352">
        <f t="array" ref="G16">SUM(SUMIFS('Accounting data'!G2:G65538,'Accounting data'!H2:H65538,"1310-1399-C*",'Accounting data'!I2:I65538,{"1*","2*","3*","4*","5*","6*"},'Accounting data'!J2:J65538,"31*",'Accounting data'!K2:K65538,"66*"))+SUM(SUMIFS('Accounting data'!G2:G65538,'Accounting data'!H2:H65538,"1227*",'Accounting data'!I2:I65538,{"1*","2*","3*","4*","5*","6*"},'Accounting data'!J2:J65538,"31*",'Accounting data'!K2:K65538,"66*"))+SUM(SUMIFS('Accounting data'!G2:G65538,'Accounting data'!H2:H65538,"1228*",'Accounting data'!I2:I65538,{"1*","2*","3*","4*","5*","6*"},'Accounting data'!J2:J65538,"31*",'Accounting data'!K2:K65538,"66*"))</f>
        <v>0</v>
      </c>
      <c r="H16" s="352">
        <f t="array" ref="H16">SUM(SUMIFS('Accounting data'!G2:G65538,'Accounting data'!H2:H65538,"1310-1399-C*",'Accounting data'!I2:I65538,{"1*","2*","3*","4*","5*","6*"},'Accounting data'!J2:J65538,"31*",'Accounting data'!K2:K65538,"681*"))+SUM(SUMIFS('Accounting data'!G2:G65538,'Accounting data'!H2:H65538,"1227*",'Accounting data'!I2:I65538,{"1*","2*","3*","4*","5*","6*"},'Accounting data'!J2:J65538,"31*",'Accounting data'!K2:K65538,"681*"))+SUM(SUMIFS('Accounting data'!G2:G65538,'Accounting data'!H2:H65538,"1228*",'Accounting data'!I2:I65538,{"1*","2*","3*","4*","5*","6*"},'Accounting data'!J2:J65538,"31*",'Accounting data'!K2:K65538,"681*"))</f>
        <v>0</v>
      </c>
      <c r="I16" s="353"/>
      <c r="J16" s="352">
        <f t="array" ref="J16">SUM(SUMIFS('Accounting data'!G2:G65538,'Accounting data'!H2:H65538,"1310-1399-C*",'Accounting data'!I2:I65538,{"1*","2*","3*","4*","5*","6*"},'Accounting data'!J2:J65538,"31*",'Accounting data'!K2:K65538,"689*"))+SUM(SUMIFS('Accounting data'!G2:G65538,'Accounting data'!H2:H65538,"1227*",'Accounting data'!I2:I65538,{"1*","2*","3*","4*","5*","6*"},'Accounting data'!J2:J65538,"31*",'Accounting data'!K2:K65538,"689*"))+SUM(SUMIFS('Accounting data'!G2:G65538,'Accounting data'!H2:H65538,"1228*",'Accounting data'!I2:I65538,{"1*","2*","3*","4*","5*","6*"},'Accounting data'!J2:J65538,"31*",'Accounting data'!K2:K65538,"689*"))</f>
        <v>0</v>
      </c>
      <c r="K16" s="352">
        <f t="array" ref="K16">SUM(SUMIFS('Accounting data'!G2:G65538,'Accounting data'!H2:H65538,"1310-1399-C*",'Accounting data'!I2:I65538,{"1*","2*","3*","4*","5*","6*"},'Accounting data'!J2:J65538,"31*",'Accounting data'!K2:K65538,"683*"))+SUM(SUMIFS('Accounting data'!G2:G65538,'Accounting data'!H2:H65538,"1227*",'Accounting data'!I2:I65538,{"1*","2*","3*","4*","5*","6*"},'Accounting data'!J2:J65538,"31*",'Accounting data'!K2:K65538,"683*"))+SUM(SUMIFS('Accounting data'!G2:G65538,'Accounting data'!H2:H65538,"1228*",'Accounting data'!I2:I65538,{"1*","2*","3*","4*","5*","6*"},'Accounting data'!J2:J65538,"31*",'Accounting data'!K2:K65538,"683*"))</f>
        <v>0</v>
      </c>
      <c r="L16" s="35">
        <v>0</v>
      </c>
      <c r="M16" s="352">
        <f t="array" ref="M16">SUM(SUMIFS('Accounting data'!G2:G65538,'Accounting data'!H2:H65538,"1310-1399-C*",'Accounting data'!I2:I65538,{"7*","8*","9*"},'Accounting data'!J2:J65538,"31*",'Accounting data'!K2:K65538,"6*"))-SUM(SUMIFS('Accounting data'!G2:G65538,'Accounting data'!H2:H65538,"1310-1399-C*",'Accounting data'!I2:I65538,{"7*","8*","9*"},'Accounting data'!J2:J65538,"31*",'Accounting data'!K2:K65538,"69*"))+SUM(SUMIFS('Accounting data'!G2:G65538,'Accounting data'!H2:H65538,"1227*",'Accounting data'!I2:I65538,{"7*","8*","9*"},'Accounting data'!J2:J65538,"31*",'Accounting data'!K2:K65538,"6*"))-SUM(SUMIFS('Accounting data'!G2:G65538,'Accounting data'!H2:H65538,"1227*",'Accounting data'!I2:I65538,{"7*","8*","9*"},'Accounting data'!J2:J65538,"31*",'Accounting data'!K2:K65538,"69*"))+SUM(SUMIFS('Accounting data'!G2:G65538,'Accounting data'!H2:H65538,"1228*",'Accounting data'!I2:I65538,{"7*","8*","9*"},'Accounting data'!J2:J65538,"31*",'Accounting data'!K2:K65538,"6*"))-SUM(SUMIFS('Accounting data'!G2:G65538,'Accounting data'!H2:H65538,"1228*",'Accounting data'!I2:I65538,{"7*","8*","9*"},'Accounting data'!J2:J65538,"31*",'Accounting data'!K2:K65538,"69*"))</f>
        <v>0</v>
      </c>
      <c r="N16" s="354">
        <f t="shared" si="0"/>
        <v>0</v>
      </c>
      <c r="O16" s="363"/>
    </row>
    <row r="17" spans="1:16" x14ac:dyDescent="0.2">
      <c r="A17" s="364" t="s">
        <v>430</v>
      </c>
      <c r="B17" s="365"/>
      <c r="C17" s="362" t="s">
        <v>38</v>
      </c>
      <c r="D17" s="352">
        <f t="array" ref="D17">SUM(SUMIFS('Accounting data'!G2:G65538,'Accounting data'!H2:H65538,"1310-1399-C*",'Accounting data'!I2:I65538,{"1*","2*","3*","4*","5*","6*"},'Accounting data'!J2:J65538,"34*",'Accounting data'!K2:K65538,"61*"))+SUM(SUMIFS('Accounting data'!G2:G65538,'Accounting data'!H2:H65538,"1227*",'Accounting data'!I2:I65538,{"1*","2*","3*","4*","5*","6*"},'Accounting data'!J2:J65538,"34*",'Accounting data'!K2:K65538,"61*"))+SUM(SUMIFS('Accounting data'!G2:G65538,'Accounting data'!H2:H65538,"1228*",'Accounting data'!I2:I65538,{"1*","2*","3*","4*","5*","6*"},'Accounting data'!J2:J65538,"34*",'Accounting data'!K2:K65538,"61*"))</f>
        <v>0</v>
      </c>
      <c r="E17" s="352">
        <f t="array" ref="E17">SUM(SUMIFS('Accounting data'!G2:G65538,'Accounting data'!H2:H65538,"1310-1399-C*",'Accounting data'!I2:I65538,{"1*","2*","3*","4*","5*","6*"},'Accounting data'!J2:J65538,"34*",'Accounting data'!K2:K65538,"62*"))+SUM(SUMIFS('Accounting data'!G2:G65538,'Accounting data'!H2:H65538,"1227*",'Accounting data'!I2:I65538,{"1*","2*","3*","4*","5*","6*"},'Accounting data'!J2:J65538,"34*",'Accounting data'!K2:K65538,"62*"))+SUM(SUMIFS('Accounting data'!G2:G65538,'Accounting data'!H2:H65538,"1228*",'Accounting data'!I2:I65538,{"1*","2*","3*","4*","5*","6*"},'Accounting data'!J2:J65538,"34*",'Accounting data'!K2:K65538,"62*"))</f>
        <v>0</v>
      </c>
      <c r="F17" s="352">
        <f t="array" ref="F17">SUM(SUMIFS('Accounting data'!G2:G65538,'Accounting data'!H2:H65538,"1310-1399-C*",'Accounting data'!I2:I65538,{"1*","2*","3*","4*","5*","6*"},'Accounting data'!J2:J65538,"34*",'Accounting data'!K2:K65538,"63*"))+SUM(SUMIFS('Accounting data'!G2:G65538,'Accounting data'!H2:H65538,"1227*",'Accounting data'!I2:I65538,{"1*","2*","3*","4*","5*","6*"},'Accounting data'!J2:J65538,"34*",'Accounting data'!K2:K65538,"63*"))+SUM(SUMIFS('Accounting data'!G2:G65538,'Accounting data'!H2:H65538,"1228*",'Accounting data'!I2:I65538,{"1*","2*","3*","4*","5*","6*"},'Accounting data'!J2:J65538,"34*",'Accounting data'!K2:K65538,"63*"))</f>
        <v>0</v>
      </c>
      <c r="G17" s="352">
        <f t="array" ref="G17">SUM(SUMIFS('Accounting data'!G2:G65538,'Accounting data'!H2:H65538,"1310-1399-C*",'Accounting data'!I2:I65538,{"1*","2*","3*","4*","5*","6*"},'Accounting data'!J2:J65538,"34*",'Accounting data'!K2:K65538,"66*"))+SUM(SUMIFS('Accounting data'!G2:G65538,'Accounting data'!H2:H65538,"1227*",'Accounting data'!I2:I65538,{"1*","2*","3*","4*","5*","6*"},'Accounting data'!J2:J65538,"34*",'Accounting data'!K2:K65538,"66*"))+SUM(SUMIFS('Accounting data'!G2:G65538,'Accounting data'!H2:H65538,"1228*",'Accounting data'!I2:I65538,{"1*","2*","3*","4*","5*","6*"},'Accounting data'!J2:J65538,"34*",'Accounting data'!K2:K65538,"66*"))</f>
        <v>0</v>
      </c>
      <c r="H17" s="352">
        <f t="array" ref="H17">SUM(SUMIFS('Accounting data'!G2:G65538,'Accounting data'!H2:H65538,"1310-1399-C*",'Accounting data'!I2:I65538,{"1*","2*","3*","4*","5*","6*"},'Accounting data'!J2:J65538,"34*",'Accounting data'!K2:K65538,"681*"))+SUM(SUMIFS('Accounting data'!G2:G65538,'Accounting data'!H2:H65538,"1227*",'Accounting data'!I2:I65538,{"1*","2*","3*","4*","5*","6*"},'Accounting data'!J2:J65538,"34*",'Accounting data'!K2:K65538,"681*"))+SUM(SUMIFS('Accounting data'!G2:G65538,'Accounting data'!H2:H65538,"1228*",'Accounting data'!I2:I65538,{"1*","2*","3*","4*","5*","6*"},'Accounting data'!J2:J65538,"34*",'Accounting data'!K2:K65538,"681*"))</f>
        <v>0</v>
      </c>
      <c r="I17" s="353"/>
      <c r="J17" s="352">
        <f t="array" ref="J17">SUM(SUMIFS('Accounting data'!G2:G65538,'Accounting data'!H2:H65538,"1310-1399-C*",'Accounting data'!I2:I65538,{"1*","2*","3*","4*","5*","6*"},'Accounting data'!J2:J65538,"34*",'Accounting data'!K2:K65538,"689*"))+SUM(SUMIFS('Accounting data'!G2:G65538,'Accounting data'!H2:H65538,"1227*",'Accounting data'!I2:I65538,{"1*","2*","3*","4*","5*","6*"},'Accounting data'!J2:J65538,"34*",'Accounting data'!K2:K65538,"689*"))+SUM(SUMIFS('Accounting data'!G2:G65538,'Accounting data'!H2:H65538,"1228*",'Accounting data'!I2:I65538,{"1*","2*","3*","4*","5*","6*"},'Accounting data'!J2:J65538,"34*",'Accounting data'!K2:K65538,"689*"))</f>
        <v>0</v>
      </c>
      <c r="K17" s="352">
        <f t="array" ref="K17">SUM(SUMIFS('Accounting data'!G2:G65538,'Accounting data'!H2:H65538,"1310-1399-C*",'Accounting data'!I2:I65538,{"1*","2*","3*","4*","5*","6*"},'Accounting data'!J2:J65538,"34*",'Accounting data'!K2:K65538,"683*"))+SUM(SUMIFS('Accounting data'!G2:G65538,'Accounting data'!H2:H65538,"1227*",'Accounting data'!I2:I65538,{"1*","2*","3*","4*","5*","6*"},'Accounting data'!J2:J65538,"34*",'Accounting data'!K2:K65538,"683*"))+SUM(SUMIFS('Accounting data'!G2:G65538,'Accounting data'!H2:H65538,"1228*",'Accounting data'!I2:I65538,{"1*","2*","3*","4*","5*","6*"},'Accounting data'!J2:J65538,"34*",'Accounting data'!K2:K65538,"683*"))</f>
        <v>0</v>
      </c>
      <c r="L17" s="35">
        <v>0</v>
      </c>
      <c r="M17" s="352">
        <f t="array" ref="M17">SUM(SUMIFS('Accounting data'!G2:G65538,'Accounting data'!H2:H65538,"1310-1399-C*",'Accounting data'!I2:I65538,{"7*","8*","9*"},'Accounting data'!J2:J65538,"34*",'Accounting data'!K2:K65538,"6*"))-SUM(SUMIFS('Accounting data'!G2:G65538,'Accounting data'!H2:H65538,"1310-1399-C*",'Accounting data'!I2:I65538,{"7*","8*","9*"},'Accounting data'!J2:J65538,"34*",'Accounting data'!K2:K65538,"69*"))+SUM(SUMIFS('Accounting data'!G2:G65538,'Accounting data'!H2:H65538,"1227*",'Accounting data'!I2:I65538,{"7*","8*","9*"},'Accounting data'!J2:J65538,"34*",'Accounting data'!K2:K65538,"6*"))-SUM(SUMIFS('Accounting data'!G2:G65538,'Accounting data'!H2:H65538,"1227*",'Accounting data'!I2:I65538,{"7*","8*","9*"},'Accounting data'!J2:J65538,"34*",'Accounting data'!K2:K65538,"69*"))+SUM(SUMIFS('Accounting data'!G2:G65538,'Accounting data'!H2:H65538,"1228*",'Accounting data'!I2:I65538,{"7*","8*","9*"},'Accounting data'!J2:J65538,"34*",'Accounting data'!K2:K65538,"6*"))-SUM(SUMIFS('Accounting data'!G2:G65538,'Accounting data'!H2:H65538,"1228*",'Accounting data'!I2:I65538,{"7*","8*","9*"},'Accounting data'!J2:J65538,"34*",'Accounting data'!K2:K65538,"69*"))</f>
        <v>0</v>
      </c>
      <c r="N17" s="354">
        <f t="shared" si="0"/>
        <v>0</v>
      </c>
      <c r="O17" s="363"/>
    </row>
    <row r="18" spans="1:16" x14ac:dyDescent="0.2">
      <c r="A18" s="366" t="s">
        <v>94</v>
      </c>
      <c r="B18" s="367"/>
      <c r="C18" s="368" t="s">
        <v>40</v>
      </c>
      <c r="D18" s="352">
        <f t="array" ref="D18">SUM(SUMIFS('Accounting data'!G2:G65538,'Accounting data'!H2:H65538,"1310-1399-C*",'Accounting data'!I2:I65538,{"1*","2*","3*","4*","5*","6*"},'Accounting data'!K2:K65538,"61*"))+SUM(SUMIFS('Accounting data'!G2:G65538,'Accounting data'!H2:H65538,"1227*",'Accounting data'!I2:I65538,{"1*","2*","3*","4*","5*","6*"},'Accounting data'!K2:K65538,"61*"))+SUM(SUMIFS('Accounting data'!G2:G65538,'Accounting data'!H2:H65538,"1228*",'Accounting data'!I2:I65538,{"1*","2*","3*","4*","5*","6*"},'Accounting data'!K2:K65538,"61*"))-SUM(D10:D17)</f>
        <v>0</v>
      </c>
      <c r="E18" s="352">
        <f t="array" ref="E18">SUM(SUMIFS('Accounting data'!G2:G65538,'Accounting data'!H2:H65538,"1310-1399-C*",'Accounting data'!I2:I65538,{"1*","2*","3*","4*","5*","6*"},'Accounting data'!K2:K65538,"62*"))+SUM(SUMIFS('Accounting data'!G2:G65538,'Accounting data'!H2:H65538,"1227*",'Accounting data'!I2:I65538,{"1*","2*","3*","4*","5*","6*"},'Accounting data'!K2:K65538,"62*"))+SUM(SUMIFS('Accounting data'!G2:G65538,'Accounting data'!H2:H65538,"1228*",'Accounting data'!I2:I65538,{"1*","2*","3*","4*","5*","6*"},'Accounting data'!K2:K65538,"62*"))-SUM(E10:E17)</f>
        <v>0</v>
      </c>
      <c r="F18" s="352">
        <f t="array" ref="F18">SUM(SUMIFS('Accounting data'!G2:G65538,'Accounting data'!H2:H65538,"1310-1399-C*",'Accounting data'!I2:I65538,{"1*","2*","3*","4*","5*","6*"},'Accounting data'!K2:K65538,"63*"))+SUM(SUMIFS('Accounting data'!G2:G65538,'Accounting data'!H2:H65538,"1227*",'Accounting data'!I2:I65538,{"1*","2*","3*","4*","5*","6*"},'Accounting data'!K2:K65538,"63*"))+SUM(SUMIFS('Accounting data'!G2:G65538,'Accounting data'!H2:H65538,"1228*",'Accounting data'!I2:I65538,{"1*","2*","3*","4*","5*","6*"},'Accounting data'!K2:K65538,"63*"))-SUM(F10:F17)</f>
        <v>0</v>
      </c>
      <c r="G18" s="352">
        <f t="array" ref="G18">SUM(SUMIFS('Accounting data'!G2:G65538,'Accounting data'!H2:H65538,"1310-1399-C*",'Accounting data'!I2:I65538,{"1*","2*","3*","4*","5*","6*"},'Accounting data'!K2:K65538,"66*"))+SUM(SUMIFS('Accounting data'!G2:G65538,'Accounting data'!H2:H65538,"1227*",'Accounting data'!I2:I65538,{"1*","2*","3*","4*","5*","6*"},'Accounting data'!K2:K65538,"66*"))+SUM(SUMIFS('Accounting data'!G2:G65538,'Accounting data'!H2:H65538,"1228*",'Accounting data'!I2:I65538,{"1*","2*","3*","4*","5*","6*"},'Accounting data'!K2:K65538,"66*"))-SUM(G10:G17)</f>
        <v>0</v>
      </c>
      <c r="H18" s="352">
        <f t="array" ref="H18">SUM(SUMIFS('Accounting data'!G2:G65538,'Accounting data'!H2:H65538,"1310-1399-C*",'Accounting data'!I2:I65538,{"1*","2*","3*","4*","5*","6*"},'Accounting data'!K2:K65538,"681*"))+SUM(SUMIFS('Accounting data'!G2:G65538,'Accounting data'!H2:H65538,"1227*",'Accounting data'!I2:I65538,{"1*","2*","3*","4*","5*","6*"},'Accounting data'!K2:K65538,"681*"))+SUM(SUMIFS('Accounting data'!G2:G65538,'Accounting data'!H2:H65538,"1228*",'Accounting data'!I2:I65538,{"1*","2*","3*","4*","5*","6*"},'Accounting data'!K2:K65538,"681*"))-SUM(H10:H17)</f>
        <v>0</v>
      </c>
      <c r="I18" s="353"/>
      <c r="J18" s="352">
        <f t="array" ref="J18">SUM(SUMIFS('Accounting data'!G2:G65538,'Accounting data'!H2:H65538,"1310-1399-C*",'Accounting data'!I2:I65538,{"1*","2*","3*","4*","5*","6*"},'Accounting data'!K2:K65538,"689*"))+SUM(SUMIFS('Accounting data'!G2:G65538,'Accounting data'!H2:H65538,"1227*",'Accounting data'!I2:I65538,{"1*","2*","3*","4*","5*","6*"},'Accounting data'!K2:K65538,"689*"))+SUM(SUMIFS('Accounting data'!G2:G65538,'Accounting data'!H2:H65538,"1228*",'Accounting data'!I2:I65538,{"1*","2*","3*","4*","5*","6*"},'Accounting data'!K2:K65538,"689*"))-SUM(J10:J17)</f>
        <v>0</v>
      </c>
      <c r="K18" s="352">
        <f t="array" ref="K18">SUM(SUMIFS('Accounting data'!G2:G65538,'Accounting data'!H2:H65538,"1310-1399-C*",'Accounting data'!I2:I65538,{"1*","2*","3*","4*","5*","6*"},'Accounting data'!K2:K65538,"683*"))+SUM(SUMIFS('Accounting data'!G2:G65538,'Accounting data'!H2:H65538,"1227*",'Accounting data'!I2:I65538,{"1*","2*","3*","4*","5*","6*"},'Accounting data'!K2:K65538,"683*"))+SUM(SUMIFS('Accounting data'!G2:G65538,'Accounting data'!H2:H65538,"1228*",'Accounting data'!I2:I65538,{"1*","2*","3*","4*","5*","6*"},'Accounting data'!K2:K65538,"683*"))-SUM(K10:K17)</f>
        <v>0</v>
      </c>
      <c r="L18" s="35">
        <v>0</v>
      </c>
      <c r="M18" s="352">
        <f t="array" ref="M18">SUM(SUMIFS('Accounting data'!G2:G65538,'Accounting data'!H2:H65538,"1310-1399-C*",'Accounting data'!I2:I65538,{"7*","8*","9*"},'Accounting data'!K2:K65538,"6*"))-SUM(SUMIFS('Accounting data'!G2:G65538,'Accounting data'!H2:H65538,"1310-1399-C*",'Accounting data'!I2:I65538,{"7*","8*","9*"},'Accounting data'!K2:K65538,"69*"))+SUM(SUMIFS('Accounting data'!G2:G65538,'Accounting data'!H2:H65538,"1227*",'Accounting data'!I2:I65538,{"7*","8*","9*"},'Accounting data'!K2:K65538,"6*"))-SUM(SUMIFS('Accounting data'!G2:G65538,'Accounting data'!H2:H65538,"1227*",'Accounting data'!I2:I65538,{"7*","8*","9*"},'Accounting data'!K2:K65538,"69*"))+SUM(SUMIFS('Accounting data'!G2:G65538,'Accounting data'!H2:H65538,"1228*",'Accounting data'!I2:I65538,{"7*","8*","9*"},'Accounting data'!K2:K65538,"6*"))-SUM(SUMIFS('Accounting data'!G2:G65538,'Accounting data'!H2:H65538,"1228*",'Accounting data'!I2:I65538,{"7*","8*","9*"},'Accounting data'!K2:K65538,"69*"))-SUM(M10:M17)</f>
        <v>0</v>
      </c>
      <c r="N18" s="354">
        <f t="shared" si="0"/>
        <v>0</v>
      </c>
      <c r="O18" s="363"/>
    </row>
    <row r="19" spans="1:16" x14ac:dyDescent="0.2">
      <c r="A19" s="369" t="s">
        <v>431</v>
      </c>
      <c r="B19" s="370"/>
      <c r="C19" s="371" t="s">
        <v>42</v>
      </c>
      <c r="D19" s="372">
        <f>SUM(D10:D18)</f>
        <v>0</v>
      </c>
      <c r="E19" s="372">
        <f t="shared" ref="E19:M19" si="1">SUM(E10:E18)</f>
        <v>0</v>
      </c>
      <c r="F19" s="372">
        <f t="shared" si="1"/>
        <v>0</v>
      </c>
      <c r="G19" s="372">
        <f t="shared" si="1"/>
        <v>0</v>
      </c>
      <c r="H19" s="372">
        <f t="shared" si="1"/>
        <v>0</v>
      </c>
      <c r="I19" s="372">
        <f t="shared" si="1"/>
        <v>0</v>
      </c>
      <c r="J19" s="372">
        <f t="shared" si="1"/>
        <v>0</v>
      </c>
      <c r="K19" s="372">
        <f t="shared" si="1"/>
        <v>0</v>
      </c>
      <c r="L19" s="372">
        <f t="shared" si="1"/>
        <v>0</v>
      </c>
      <c r="M19" s="372">
        <f t="shared" si="1"/>
        <v>0</v>
      </c>
      <c r="N19" s="354">
        <f t="shared" si="0"/>
        <v>0</v>
      </c>
      <c r="O19" s="363"/>
    </row>
    <row r="20" spans="1:16" x14ac:dyDescent="0.2">
      <c r="H20" s="323"/>
      <c r="I20" s="323"/>
      <c r="J20" s="323"/>
      <c r="K20" s="323"/>
      <c r="L20" s="373"/>
    </row>
    <row r="21" spans="1:16" ht="34.5" customHeight="1" x14ac:dyDescent="0.2">
      <c r="A21" s="923" t="s">
        <v>432</v>
      </c>
      <c r="B21" s="924"/>
      <c r="C21" s="925"/>
      <c r="D21" s="611" t="s">
        <v>433</v>
      </c>
      <c r="E21" s="36" t="s">
        <v>434</v>
      </c>
      <c r="G21" s="374" t="s">
        <v>435</v>
      </c>
      <c r="H21" s="375"/>
      <c r="I21" s="375"/>
      <c r="J21" s="376"/>
      <c r="L21" s="377" t="s">
        <v>436</v>
      </c>
      <c r="M21" s="378"/>
      <c r="N21" s="378"/>
      <c r="O21" s="379"/>
    </row>
    <row r="22" spans="1:16" x14ac:dyDescent="0.2">
      <c r="A22" s="380" t="s">
        <v>437</v>
      </c>
      <c r="B22" s="381"/>
      <c r="C22" s="382"/>
      <c r="D22" s="37">
        <v>0</v>
      </c>
      <c r="E22" s="38">
        <v>0</v>
      </c>
      <c r="G22" s="383" t="s">
        <v>438</v>
      </c>
      <c r="H22" s="384"/>
      <c r="I22" s="385"/>
      <c r="J22" s="37">
        <v>0</v>
      </c>
      <c r="L22" s="383" t="s">
        <v>439</v>
      </c>
      <c r="M22" s="384"/>
      <c r="N22" s="385"/>
      <c r="O22" s="39">
        <f>ROUND(SUM(SUMIFS('Accounting data'!G2:G65538,'Accounting data'!H2:H65538,"1310-1399-C*",'Accounting data'!K2:K65538,"69*")),0)+ROUND(SUM(SUMIFS('Accounting data'!G2:G65538,'Accounting data'!H2:H65538,"1227*",'Accounting data'!K2:K65538,"69*")),0)+ROUND(SUM(SUMIFS('Accounting data'!G2:G65538,'Accounting data'!H2:H65538,"1228*",'Accounting data'!K2:K65538,"69*")),0)</f>
        <v>0</v>
      </c>
    </row>
    <row r="23" spans="1:16" x14ac:dyDescent="0.2">
      <c r="A23" s="383" t="s">
        <v>440</v>
      </c>
      <c r="B23" s="384"/>
      <c r="C23" s="385"/>
      <c r="D23" s="37">
        <v>0</v>
      </c>
      <c r="E23" s="48">
        <v>0</v>
      </c>
      <c r="G23" s="386" t="s">
        <v>441</v>
      </c>
      <c r="H23" s="387"/>
      <c r="I23" s="385"/>
      <c r="J23" s="37">
        <v>0</v>
      </c>
    </row>
    <row r="24" spans="1:16" x14ac:dyDescent="0.2">
      <c r="A24" s="383" t="s">
        <v>442</v>
      </c>
      <c r="B24" s="384"/>
      <c r="C24" s="388"/>
      <c r="D24" s="37">
        <v>0</v>
      </c>
      <c r="E24" s="546">
        <v>0</v>
      </c>
      <c r="G24" s="582" t="s">
        <v>443</v>
      </c>
      <c r="H24" s="583"/>
      <c r="I24" s="385"/>
      <c r="J24" s="37">
        <v>0</v>
      </c>
      <c r="L24" s="374" t="s">
        <v>444</v>
      </c>
      <c r="M24" s="375"/>
      <c r="N24" s="375"/>
      <c r="O24" s="376"/>
    </row>
    <row r="25" spans="1:16" x14ac:dyDescent="0.2">
      <c r="A25" s="383" t="s">
        <v>445</v>
      </c>
      <c r="B25" s="384"/>
      <c r="C25" s="388"/>
      <c r="D25" s="37">
        <v>0</v>
      </c>
      <c r="E25" s="546">
        <v>0</v>
      </c>
      <c r="G25" s="582" t="s">
        <v>446</v>
      </c>
      <c r="H25" s="583"/>
      <c r="I25" s="385"/>
      <c r="J25" s="37">
        <v>0</v>
      </c>
      <c r="L25" s="390" t="s">
        <v>447</v>
      </c>
      <c r="M25" s="391"/>
      <c r="N25" s="388"/>
      <c r="O25" s="37">
        <v>0</v>
      </c>
    </row>
    <row r="26" spans="1:16" x14ac:dyDescent="0.2">
      <c r="A26" s="383" t="s">
        <v>448</v>
      </c>
      <c r="B26" s="384"/>
      <c r="C26" s="388"/>
      <c r="D26" s="37">
        <v>0</v>
      </c>
      <c r="E26" s="546">
        <v>0</v>
      </c>
      <c r="G26" s="582" t="s">
        <v>449</v>
      </c>
      <c r="H26" s="583"/>
      <c r="I26" s="385"/>
      <c r="J26" s="37">
        <v>0</v>
      </c>
      <c r="L26" s="390" t="s">
        <v>450</v>
      </c>
      <c r="M26" s="391"/>
      <c r="N26" s="388"/>
      <c r="O26" s="37">
        <v>0</v>
      </c>
    </row>
    <row r="27" spans="1:16" x14ac:dyDescent="0.2">
      <c r="A27" s="392" t="s">
        <v>451</v>
      </c>
      <c r="B27" s="393"/>
      <c r="C27" s="394"/>
      <c r="D27" s="37">
        <v>0</v>
      </c>
      <c r="E27" s="38">
        <v>0</v>
      </c>
      <c r="L27" s="390" t="s">
        <v>452</v>
      </c>
      <c r="M27" s="391"/>
      <c r="N27" s="388"/>
      <c r="O27" s="37">
        <v>0</v>
      </c>
    </row>
    <row r="28" spans="1:16" x14ac:dyDescent="0.2">
      <c r="A28" s="395" t="s">
        <v>453</v>
      </c>
      <c r="B28" s="396"/>
      <c r="C28" s="397"/>
      <c r="D28" s="40">
        <v>0</v>
      </c>
      <c r="E28" s="389">
        <f>D28</f>
        <v>0</v>
      </c>
      <c r="L28" s="324"/>
      <c r="M28" s="324"/>
      <c r="N28" s="324"/>
      <c r="O28" s="41"/>
    </row>
    <row r="29" spans="1:16" x14ac:dyDescent="0.2">
      <c r="A29" s="926"/>
      <c r="B29" s="926"/>
      <c r="C29" s="926"/>
      <c r="D29" s="398"/>
    </row>
    <row r="30" spans="1:16" ht="15" customHeight="1" x14ac:dyDescent="0.2">
      <c r="A30" s="333"/>
      <c r="B30" s="333"/>
      <c r="C30" s="333"/>
      <c r="D30" s="333"/>
      <c r="G30" s="374" t="s">
        <v>454</v>
      </c>
      <c r="H30" s="375"/>
      <c r="I30" s="375"/>
      <c r="J30" s="376"/>
      <c r="L30" s="917" t="str">
        <f>IF(OR(D19&lt;0,E19&lt;0,F19&lt;0,G19&lt;0,H19&lt;0,J19&lt;0,K19&lt;0,L19&lt;0,M19&lt;0,N19&lt;0),"Line 9 in the current expenses table should not contain negative amounts. Click the instruction link in cell A18 for more information.","")</f>
        <v/>
      </c>
      <c r="M30" s="917" t="str">
        <f t="shared" ref="M30:P32" si="2">IF(OR(E19&lt;0,F19&lt;0,G19&lt;0,H19&lt;0,I19&lt;0,K19&lt;0,L19&lt;0,M19&lt;0,N19&lt;0,O19&lt;0),"Table A, line 9 should not contain negative amounts. Click the the instruction link in cell A18 for more information.","")</f>
        <v/>
      </c>
      <c r="N30" s="917" t="str">
        <f t="shared" si="2"/>
        <v/>
      </c>
      <c r="O30" s="917" t="str">
        <f t="shared" si="2"/>
        <v/>
      </c>
      <c r="P30" s="917" t="str">
        <f t="shared" si="2"/>
        <v/>
      </c>
    </row>
    <row r="31" spans="1:16" ht="15" customHeight="1" x14ac:dyDescent="0.2">
      <c r="E31" s="399"/>
      <c r="G31" s="400" t="s">
        <v>455</v>
      </c>
      <c r="H31" s="384"/>
      <c r="I31" s="384"/>
      <c r="J31" s="401">
        <f>ROUND(SUMIFS('Accounting data'!G2:G65538,'Accounting data'!H2:H65538,"1310-1399-C*",'Accounting data'!K2:K65538,"685*"),0)</f>
        <v>0</v>
      </c>
      <c r="L31" s="917" t="str">
        <f>IF(OR(D20&lt;0,E20&lt;0,F20&lt;0,G20&lt;0,H20&lt;0,J20&lt;0,K20&lt;0,L20&lt;0,M20&lt;0,N20&lt;0),"Table A, line 9 should not contain negative amounts. Click the the instruction link in cell A18 for more information.","")</f>
        <v/>
      </c>
      <c r="M31" s="917" t="str">
        <f t="shared" si="2"/>
        <v/>
      </c>
      <c r="N31" s="917" t="str">
        <f t="shared" si="2"/>
        <v/>
      </c>
      <c r="O31" s="917" t="str">
        <f t="shared" si="2"/>
        <v/>
      </c>
      <c r="P31" s="917" t="str">
        <f t="shared" si="2"/>
        <v/>
      </c>
    </row>
    <row r="32" spans="1:16" ht="15" customHeight="1" x14ac:dyDescent="0.2">
      <c r="E32" s="355"/>
      <c r="G32" s="400" t="s">
        <v>456</v>
      </c>
      <c r="H32" s="384"/>
      <c r="I32" s="384"/>
      <c r="J32" s="37">
        <v>0</v>
      </c>
      <c r="L32" s="917" t="str">
        <f>IF(OR(D21&lt;0,E21&lt;0,F21&lt;0,G21&lt;0,H21&lt;0,J21&lt;0,K21&lt;0,L21&lt;0,M21&lt;0,N21&lt;0),"Table A, line 9 should not contain negative amounts. Click the the instruction link in cell A18 for more information.","")</f>
        <v/>
      </c>
      <c r="M32" s="917" t="str">
        <f t="shared" si="2"/>
        <v/>
      </c>
      <c r="N32" s="917" t="str">
        <f t="shared" si="2"/>
        <v/>
      </c>
      <c r="O32" s="917" t="str">
        <f t="shared" si="2"/>
        <v/>
      </c>
      <c r="P32" s="917" t="str">
        <f t="shared" si="2"/>
        <v/>
      </c>
    </row>
    <row r="33" spans="1:28" ht="12.75" customHeight="1" x14ac:dyDescent="0.2">
      <c r="E33" s="402"/>
      <c r="K33" s="403"/>
      <c r="L33" s="42"/>
      <c r="M33" s="42"/>
      <c r="N33" s="43"/>
      <c r="O33" s="42"/>
      <c r="AB33" s="330" t="s">
        <v>457</v>
      </c>
    </row>
    <row r="34" spans="1:28" ht="11.25" customHeight="1" x14ac:dyDescent="0.2">
      <c r="E34" s="404"/>
      <c r="G34" s="324"/>
      <c r="M34" s="405"/>
      <c r="N34" s="406"/>
      <c r="O34" s="406"/>
    </row>
    <row r="35" spans="1:28" ht="37.5" customHeight="1" x14ac:dyDescent="0.2">
      <c r="A35" s="930" t="s">
        <v>458</v>
      </c>
      <c r="B35" s="931"/>
      <c r="C35" s="932"/>
      <c r="D35" s="901" t="s">
        <v>459</v>
      </c>
      <c r="E35" s="903" t="s">
        <v>1324</v>
      </c>
      <c r="F35" s="903" t="s">
        <v>1325</v>
      </c>
      <c r="G35" s="901" t="s">
        <v>460</v>
      </c>
      <c r="J35" s="374" t="s">
        <v>461</v>
      </c>
      <c r="K35" s="60"/>
      <c r="L35" s="60"/>
      <c r="M35" s="60"/>
      <c r="N35" s="61"/>
      <c r="R35" s="323"/>
      <c r="V35" s="329"/>
    </row>
    <row r="36" spans="1:28" ht="25.5" customHeight="1" x14ac:dyDescent="0.2">
      <c r="A36" s="933"/>
      <c r="B36" s="825"/>
      <c r="C36" s="934"/>
      <c r="D36" s="902"/>
      <c r="E36" s="904"/>
      <c r="F36" s="904"/>
      <c r="G36" s="902"/>
      <c r="J36" s="935" t="s">
        <v>462</v>
      </c>
      <c r="K36" s="936"/>
      <c r="L36" s="936"/>
      <c r="M36" s="937"/>
      <c r="N36" s="411">
        <v>1493861</v>
      </c>
      <c r="Q36" s="44"/>
      <c r="R36" s="45"/>
      <c r="V36" s="329"/>
    </row>
    <row r="37" spans="1:28" ht="12.75" customHeight="1" x14ac:dyDescent="0.2">
      <c r="A37" s="46" t="s">
        <v>463</v>
      </c>
      <c r="B37" s="47"/>
      <c r="C37" s="47"/>
      <c r="D37" s="48">
        <v>0</v>
      </c>
      <c r="E37" s="48">
        <v>0</v>
      </c>
      <c r="F37" s="353"/>
      <c r="G37" s="353"/>
      <c r="J37" s="935" t="s">
        <v>464</v>
      </c>
      <c r="K37" s="936"/>
      <c r="L37" s="936"/>
      <c r="M37" s="937"/>
      <c r="N37" s="411">
        <v>1493861</v>
      </c>
      <c r="R37" s="323"/>
      <c r="V37" s="329"/>
    </row>
    <row r="38" spans="1:28" ht="12.75" customHeight="1" x14ac:dyDescent="0.2">
      <c r="A38" s="46" t="s">
        <v>465</v>
      </c>
      <c r="B38" s="47"/>
      <c r="C38" s="47"/>
      <c r="D38" s="48">
        <v>0</v>
      </c>
      <c r="E38" s="48">
        <v>0</v>
      </c>
      <c r="F38" s="48">
        <v>0</v>
      </c>
      <c r="G38" s="372">
        <f>ROUND(D38-E38-F38,0)</f>
        <v>0</v>
      </c>
      <c r="J38" s="935" t="s">
        <v>466</v>
      </c>
      <c r="K38" s="936"/>
      <c r="L38" s="936"/>
      <c r="M38" s="937"/>
      <c r="N38" s="411">
        <v>1493861</v>
      </c>
      <c r="R38" s="323"/>
      <c r="V38" s="329"/>
    </row>
    <row r="39" spans="1:28" ht="12.75" customHeight="1" x14ac:dyDescent="0.2">
      <c r="A39" s="46" t="s">
        <v>467</v>
      </c>
      <c r="B39" s="47"/>
      <c r="C39" s="47"/>
      <c r="D39" s="48">
        <v>0</v>
      </c>
      <c r="E39" s="48">
        <v>0</v>
      </c>
      <c r="F39" s="48">
        <v>0</v>
      </c>
      <c r="G39" s="372">
        <f>ROUND(D39-E39-F39,0)</f>
        <v>0</v>
      </c>
      <c r="J39" s="927" t="s">
        <v>468</v>
      </c>
      <c r="K39" s="928"/>
      <c r="L39" s="928"/>
      <c r="M39" s="929"/>
      <c r="N39" s="412">
        <v>0</v>
      </c>
      <c r="R39" s="323"/>
      <c r="V39" s="329"/>
    </row>
    <row r="40" spans="1:28" ht="12.75" customHeight="1" x14ac:dyDescent="0.2">
      <c r="A40" s="46" t="s">
        <v>469</v>
      </c>
      <c r="B40" s="47"/>
      <c r="C40" s="47"/>
      <c r="D40" s="48">
        <v>0</v>
      </c>
      <c r="E40" s="48">
        <v>0</v>
      </c>
      <c r="F40" s="48">
        <v>0</v>
      </c>
      <c r="G40" s="372">
        <f>ROUND(D40-E40-F40,0)</f>
        <v>0</v>
      </c>
      <c r="J40" s="927" t="s">
        <v>470</v>
      </c>
      <c r="K40" s="928"/>
      <c r="L40" s="928"/>
      <c r="M40" s="929"/>
      <c r="N40" s="413">
        <f>ROUND(N36-N37-N39,0)</f>
        <v>0</v>
      </c>
      <c r="R40" s="323"/>
      <c r="V40" s="329"/>
    </row>
    <row r="41" spans="1:28" ht="12.75" customHeight="1" x14ac:dyDescent="0.2">
      <c r="A41" s="46" t="s">
        <v>471</v>
      </c>
      <c r="B41" s="47"/>
      <c r="C41" s="47"/>
      <c r="D41" s="48">
        <v>651519</v>
      </c>
      <c r="E41" s="48">
        <v>651519</v>
      </c>
      <c r="F41" s="48">
        <v>0</v>
      </c>
      <c r="G41" s="372">
        <f>ROUND(D41-E41-F41,0)</f>
        <v>0</v>
      </c>
    </row>
    <row r="42" spans="1:28" ht="12.75" customHeight="1" x14ac:dyDescent="0.2">
      <c r="A42" s="49" t="s">
        <v>472</v>
      </c>
      <c r="B42" s="47"/>
      <c r="C42" s="47"/>
      <c r="D42" s="48">
        <v>7359437</v>
      </c>
      <c r="E42" s="48">
        <v>7359437</v>
      </c>
      <c r="F42" s="48">
        <v>0</v>
      </c>
      <c r="G42" s="372">
        <f>ROUND(D42-E42-F42,0)</f>
        <v>0</v>
      </c>
    </row>
    <row r="43" spans="1:28" ht="12.75" customHeight="1" x14ac:dyDescent="0.2">
      <c r="A43" s="918" t="s">
        <v>473</v>
      </c>
      <c r="B43" s="919"/>
      <c r="C43" s="920"/>
      <c r="D43" s="407">
        <f>ROUND(SUM(D37:D42),0)</f>
        <v>8010956</v>
      </c>
      <c r="E43" s="407">
        <f>ROUND(SUM(E37:E42),0)</f>
        <v>8010956</v>
      </c>
      <c r="F43" s="407">
        <f>ROUND(SUM(F37:F42),0)</f>
        <v>0</v>
      </c>
      <c r="G43" s="407">
        <f>ROUND(SUM(G37:G42),0)</f>
        <v>0</v>
      </c>
    </row>
    <row r="44" spans="1:28" x14ac:dyDescent="0.2">
      <c r="F44" s="408"/>
    </row>
    <row r="45" spans="1:28" x14ac:dyDescent="0.2">
      <c r="E45" s="690" t="s">
        <v>1364</v>
      </c>
      <c r="F45" s="50">
        <f>ROUND(N19+O22+O25+O26+O27+J31+J32,0)</f>
        <v>0</v>
      </c>
      <c r="H45" s="921" t="str">
        <f>IF(OR(G37&lt;0,G38&lt;0,G39&lt;0,G40&lt;0,G41&lt;0,G42&lt;0,G43&lt;0),"Column G should not contain negative amounts. Click the instruction link in cell G36 for more information.","")</f>
        <v/>
      </c>
      <c r="I45" s="922"/>
      <c r="J45" s="922"/>
      <c r="K45" s="922"/>
    </row>
    <row r="46" spans="1:28" ht="12.75" customHeight="1" x14ac:dyDescent="0.2">
      <c r="A46" s="409"/>
      <c r="B46" s="409"/>
      <c r="C46" s="410"/>
      <c r="F46" s="921" t="str">
        <f>IF(F45&lt;&gt;F43,"Total in cell F43 should agree to amount in cell F45","")</f>
        <v/>
      </c>
      <c r="G46" s="921"/>
      <c r="H46" s="922"/>
      <c r="I46" s="922"/>
      <c r="J46" s="922"/>
      <c r="K46" s="922"/>
    </row>
    <row r="47" spans="1:28" ht="12.75" customHeight="1" x14ac:dyDescent="0.2">
      <c r="A47" s="409"/>
      <c r="B47" s="409"/>
      <c r="C47" s="410"/>
      <c r="F47" s="921"/>
      <c r="G47" s="921"/>
      <c r="H47" s="922"/>
      <c r="I47" s="922"/>
      <c r="J47" s="922"/>
      <c r="K47" s="922"/>
    </row>
    <row r="48" spans="1:28" ht="12.75" customHeight="1" x14ac:dyDescent="0.2">
      <c r="A48" s="410"/>
      <c r="B48" s="410"/>
      <c r="C48" s="410"/>
      <c r="F48" s="921"/>
      <c r="G48" s="921"/>
      <c r="H48" s="922"/>
      <c r="I48" s="922"/>
      <c r="J48" s="922"/>
      <c r="K48" s="922"/>
    </row>
    <row r="49" spans="1:7" ht="12.75" customHeight="1" x14ac:dyDescent="0.2">
      <c r="A49" s="410"/>
      <c r="B49" s="410"/>
      <c r="C49" s="410"/>
      <c r="F49" s="921"/>
      <c r="G49" s="921"/>
    </row>
  </sheetData>
  <sheetProtection sheet="1" objects="1" scenarios="1"/>
  <mergeCells count="22">
    <mergeCell ref="A43:C43"/>
    <mergeCell ref="H45:K48"/>
    <mergeCell ref="F46:G49"/>
    <mergeCell ref="A21:C21"/>
    <mergeCell ref="A29:C29"/>
    <mergeCell ref="J40:M40"/>
    <mergeCell ref="A35:C36"/>
    <mergeCell ref="J36:M36"/>
    <mergeCell ref="J37:M37"/>
    <mergeCell ref="J38:M38"/>
    <mergeCell ref="J39:M39"/>
    <mergeCell ref="A5:A6"/>
    <mergeCell ref="D5:L5"/>
    <mergeCell ref="N5:N9"/>
    <mergeCell ref="A8:C9"/>
    <mergeCell ref="L30:P32"/>
    <mergeCell ref="B1:E1"/>
    <mergeCell ref="H1:I1"/>
    <mergeCell ref="D35:D36"/>
    <mergeCell ref="E35:E36"/>
    <mergeCell ref="F35:F36"/>
    <mergeCell ref="G35:G36"/>
  </mergeCells>
  <conditionalFormatting sqref="B1:E1">
    <cfRule type="expression" dxfId="39" priority="42" stopIfTrue="1">
      <formula>B1=""</formula>
    </cfRule>
  </conditionalFormatting>
  <conditionalFormatting sqref="D22:D28">
    <cfRule type="expression" dxfId="38" priority="24" stopIfTrue="1">
      <formula>D22=""</formula>
    </cfRule>
  </conditionalFormatting>
  <conditionalFormatting sqref="D37:E42 F38:F42">
    <cfRule type="expression" dxfId="37" priority="5" stopIfTrue="1">
      <formula>D37=""</formula>
    </cfRule>
  </conditionalFormatting>
  <conditionalFormatting sqref="E22:E27">
    <cfRule type="expression" dxfId="36" priority="18" stopIfTrue="1">
      <formula>E22=""</formula>
    </cfRule>
  </conditionalFormatting>
  <conditionalFormatting sqref="G38:G42">
    <cfRule type="cellIs" dxfId="35" priority="8" stopIfTrue="1" operator="lessThan">
      <formula>0</formula>
    </cfRule>
  </conditionalFormatting>
  <conditionalFormatting sqref="H1:I1">
    <cfRule type="expression" dxfId="34" priority="41" stopIfTrue="1">
      <formula>H1=""</formula>
    </cfRule>
  </conditionalFormatting>
  <conditionalFormatting sqref="J22:J26">
    <cfRule type="expression" dxfId="33" priority="13" stopIfTrue="1">
      <formula>J22=""</formula>
    </cfRule>
  </conditionalFormatting>
  <conditionalFormatting sqref="J32">
    <cfRule type="expression" dxfId="32" priority="12" stopIfTrue="1">
      <formula>J32=""</formula>
    </cfRule>
  </conditionalFormatting>
  <conditionalFormatting sqref="L1">
    <cfRule type="expression" dxfId="31" priority="40" stopIfTrue="1">
      <formula>L1=""</formula>
    </cfRule>
  </conditionalFormatting>
  <conditionalFormatting sqref="L10:L18">
    <cfRule type="expression" dxfId="30" priority="31" stopIfTrue="1">
      <formula>L10=""</formula>
    </cfRule>
  </conditionalFormatting>
  <conditionalFormatting sqref="N36:N39">
    <cfRule type="expression" dxfId="29" priority="1" stopIfTrue="1">
      <formula>N36=""</formula>
    </cfRule>
  </conditionalFormatting>
  <conditionalFormatting sqref="O25:O27">
    <cfRule type="expression" dxfId="28"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dataValidation type="whole" allowBlank="1" showInputMessage="1" showErrorMessage="1" errorTitle="Input error" error="The amount entered should be rounded to the nearest dollar and should not exceed the remaining Other funds balance (column D minus columns E and F)." sqref="F42">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formula1>0</formula1>
      <formula2>D39-E39-#REF!</formula2>
    </dataValidation>
  </dataValidations>
  <hyperlinks>
    <hyperlink ref="A18" location="Page10OtherLine" display="Other"/>
    <hyperlink ref="A21:C21" location="Page10TechDetail" display="Technology related expenses from COVID-19 federal relief projects"/>
    <hyperlink ref="A28" location="Page10TechDetailLine7" display="7. 6641-43 Software reported in library books, textbooks, or instructional aids "/>
    <hyperlink ref="L8:L9" location="Page10PropertyDisbursement" display="Property"/>
    <hyperlink ref="L24" location="Page10PropertyDisbursementDetail" display="Property disbursements from COVID-19 federal relief projects"/>
    <hyperlink ref="G21" location="Page10PropertyDisbursementDetail" display="Property disbursement detail for COVID-19 federal relief projects"/>
    <hyperlink ref="G30" location="Page10DebtServiceDetail" display="Debt service detail for COVID-19 federal relief projects"/>
    <hyperlink ref="A37" location="Page10ProjectsLine1" display="1. Elementary and Secondary School Emergency Relief Funds (ESSER I)"/>
    <hyperlink ref="A38" location="Page10ProjectsLine2" display="2. Elementary and Secondary School Emergency Relief Funds (ESSER II)"/>
    <hyperlink ref="A39" location="Page10ProjectsLine3" display="3. Elementary and Secondary School Emergency Relief Funds (ESSER III)"/>
    <hyperlink ref="A40" location="Page10ProjectsLine4" display="4. Governor’s Emergency Education Relief Funds (GEER) - includes Acceleration Academies Program"/>
    <hyperlink ref="A41" location="Page10ProjectsLine5" display="5. Coronavirus Relief Fund (CRF)—Enrollment Stability Grant (ESG) Program"/>
    <hyperlink ref="A42" location="Page10ProjectsLine6" display="6. Other COVID-19 Federal Relief Funds"/>
    <hyperlink ref="D35:D36" location="Page10TotalAward" display="Page10TotalAward"/>
    <hyperlink ref="E35:E36" location="Page10FY20to23Exp" display="Page10FY20to23Exp"/>
    <hyperlink ref="F35:F36" location="Page10FY24Exp" display="Page10FY24Exp"/>
    <hyperlink ref="G35:G36" location="Page10Remaining" display="Page10Remaining"/>
    <hyperlink ref="J35" location="Page10PPP" display="Paycheck Protection Program"/>
    <hyperlink ref="A35:C36" location="Page10projects" display="COVID-19 federal relief projects"/>
    <hyperlink ref="A3" location="Page10General" display="Instruction"/>
  </hyperlinks>
  <pageMargins left="0.31" right="0.17" top="0.75" bottom="0.75" header="0.3" footer="0.3"/>
  <pageSetup paperSize="5" scale="67" orientation="landscape" r:id="rId1"/>
  <headerFooter>
    <oddFooter>&amp;LRev. 8/25 Arizona Department of Education and Auditor General&amp;CFY 2025
No assurance provided.</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3"/>
  <sheetViews>
    <sheetView showGridLines="0" workbookViewId="0">
      <selection activeCell="Q34" sqref="Q33:R34"/>
    </sheetView>
  </sheetViews>
  <sheetFormatPr defaultColWidth="9.33203125" defaultRowHeight="12.75" x14ac:dyDescent="0.2"/>
  <cols>
    <col min="1" max="1" width="2.6640625" bestFit="1" customWidth="1"/>
    <col min="2" max="2" width="21.5" customWidth="1"/>
    <col min="3" max="3" width="18.1640625" customWidth="1"/>
    <col min="4" max="4" width="18.33203125" customWidth="1"/>
    <col min="5" max="5" width="17.1640625" customWidth="1"/>
    <col min="6" max="7" width="15.83203125" customWidth="1"/>
    <col min="8" max="8" width="3.1640625" customWidth="1"/>
    <col min="9" max="9" width="3.6640625" bestFit="1" customWidth="1"/>
    <col min="10" max="10" width="12.33203125" customWidth="1"/>
    <col min="11" max="11" width="10.83203125" customWidth="1"/>
    <col min="12" max="12" width="11.33203125" customWidth="1"/>
    <col min="13" max="13" width="15.83203125" customWidth="1"/>
    <col min="14" max="14" width="3.6640625" customWidth="1"/>
    <col min="15" max="15" width="15.83203125" customWidth="1"/>
    <col min="16" max="16" width="3.6640625" bestFit="1" customWidth="1"/>
    <col min="17" max="17" width="9.33203125" customWidth="1"/>
  </cols>
  <sheetData>
    <row r="1" spans="1:18" x14ac:dyDescent="0.2">
      <c r="A1" s="788" t="s">
        <v>0</v>
      </c>
      <c r="B1" s="788"/>
      <c r="C1" s="806" t="str">
        <f>'Cover Page'!$D$1</f>
        <v>Eduprize Schools LLC</v>
      </c>
      <c r="D1" s="806"/>
      <c r="G1" s="62" t="s">
        <v>1</v>
      </c>
      <c r="H1" s="62"/>
      <c r="I1" s="806" t="str">
        <f>'Cover Page'!$M$1</f>
        <v>Pinal</v>
      </c>
      <c r="J1" s="806"/>
      <c r="K1" s="69"/>
      <c r="M1" s="943" t="s">
        <v>2</v>
      </c>
      <c r="N1" s="943"/>
      <c r="O1" s="2" t="str">
        <f>'Cover Page'!$R$1</f>
        <v>078687000</v>
      </c>
    </row>
    <row r="2" spans="1:18" ht="13.15" customHeight="1" x14ac:dyDescent="0.2">
      <c r="B2" s="658" t="s">
        <v>724</v>
      </c>
    </row>
    <row r="3" spans="1:18" ht="20.25" customHeight="1" x14ac:dyDescent="0.3">
      <c r="A3" s="940" t="s">
        <v>1212</v>
      </c>
      <c r="B3" s="940"/>
      <c r="C3" s="940"/>
      <c r="D3" s="940"/>
      <c r="E3" s="940"/>
      <c r="F3" s="940"/>
      <c r="G3" s="940"/>
      <c r="H3" s="940"/>
      <c r="I3" s="940"/>
      <c r="J3" s="940"/>
      <c r="K3" s="940"/>
      <c r="L3" s="940"/>
      <c r="M3" s="940"/>
      <c r="N3" s="940"/>
      <c r="O3" s="940"/>
      <c r="P3" s="940"/>
    </row>
    <row r="4" spans="1:18" ht="9" customHeight="1" x14ac:dyDescent="0.2">
      <c r="E4" t="s">
        <v>20</v>
      </c>
    </row>
    <row r="5" spans="1:18" x14ac:dyDescent="0.2">
      <c r="B5" s="615" t="s">
        <v>165</v>
      </c>
      <c r="E5" s="581" t="s">
        <v>23</v>
      </c>
      <c r="F5" s="4"/>
      <c r="J5" s="615" t="s">
        <v>89</v>
      </c>
      <c r="O5" s="581" t="s">
        <v>23</v>
      </c>
    </row>
    <row r="6" spans="1:18" x14ac:dyDescent="0.2">
      <c r="A6" s="66" t="s">
        <v>24</v>
      </c>
      <c r="B6" t="s">
        <v>194</v>
      </c>
      <c r="E6" s="105"/>
      <c r="F6" s="567" t="s">
        <v>24</v>
      </c>
      <c r="I6" s="66" t="s">
        <v>36</v>
      </c>
      <c r="J6" t="s">
        <v>1211</v>
      </c>
      <c r="N6" s="66"/>
      <c r="O6" s="105"/>
      <c r="P6" s="91" t="s">
        <v>36</v>
      </c>
    </row>
    <row r="7" spans="1:18" x14ac:dyDescent="0.2">
      <c r="A7" s="66" t="s">
        <v>26</v>
      </c>
      <c r="B7" t="s">
        <v>1210</v>
      </c>
      <c r="E7" s="105"/>
      <c r="F7" s="567" t="s">
        <v>26</v>
      </c>
      <c r="I7" s="66" t="s">
        <v>38</v>
      </c>
      <c r="J7" t="s">
        <v>1209</v>
      </c>
      <c r="N7" s="66"/>
      <c r="O7" s="105"/>
      <c r="P7" s="91" t="s">
        <v>38</v>
      </c>
    </row>
    <row r="8" spans="1:18" x14ac:dyDescent="0.2">
      <c r="A8" s="66" t="s">
        <v>28</v>
      </c>
      <c r="B8" t="s">
        <v>1208</v>
      </c>
      <c r="E8" s="105"/>
      <c r="F8" s="567" t="s">
        <v>28</v>
      </c>
      <c r="I8" s="66" t="s">
        <v>40</v>
      </c>
      <c r="J8" t="s">
        <v>1207</v>
      </c>
      <c r="N8" s="66"/>
      <c r="O8" s="105"/>
      <c r="P8" s="91" t="s">
        <v>40</v>
      </c>
    </row>
    <row r="9" spans="1:18" x14ac:dyDescent="0.2">
      <c r="A9" s="66" t="s">
        <v>31</v>
      </c>
      <c r="B9" t="s">
        <v>1206</v>
      </c>
      <c r="E9" s="88"/>
      <c r="F9" s="567"/>
      <c r="I9" s="66" t="s">
        <v>42</v>
      </c>
      <c r="J9" t="s">
        <v>1205</v>
      </c>
      <c r="N9" s="66"/>
      <c r="O9" s="105"/>
      <c r="P9" s="91" t="s">
        <v>42</v>
      </c>
    </row>
    <row r="10" spans="1:18" x14ac:dyDescent="0.2">
      <c r="A10" s="66"/>
      <c r="B10" t="s">
        <v>1204</v>
      </c>
      <c r="E10" s="637"/>
      <c r="F10" s="567" t="s">
        <v>31</v>
      </c>
      <c r="I10" s="66" t="s">
        <v>44</v>
      </c>
      <c r="J10" t="s">
        <v>1203</v>
      </c>
      <c r="N10" s="66"/>
      <c r="O10" s="105"/>
      <c r="P10" s="91" t="s">
        <v>44</v>
      </c>
      <c r="R10" s="29"/>
    </row>
    <row r="11" spans="1:18" x14ac:dyDescent="0.2">
      <c r="A11" s="66" t="s">
        <v>33</v>
      </c>
      <c r="B11" t="s">
        <v>1202</v>
      </c>
      <c r="E11" s="663"/>
      <c r="F11" s="91" t="s">
        <v>33</v>
      </c>
      <c r="I11" s="66" t="s">
        <v>45</v>
      </c>
      <c r="J11" t="s">
        <v>1201</v>
      </c>
      <c r="N11" s="66"/>
      <c r="O11" s="105"/>
      <c r="P11" s="91" t="s">
        <v>45</v>
      </c>
    </row>
    <row r="12" spans="1:18" ht="13.5" thickBot="1" x14ac:dyDescent="0.25">
      <c r="A12" s="66" t="s">
        <v>35</v>
      </c>
      <c r="B12" t="s">
        <v>1200</v>
      </c>
      <c r="E12" s="634">
        <f>SUM(E6:E11)</f>
        <v>0</v>
      </c>
      <c r="F12" s="91" t="s">
        <v>35</v>
      </c>
      <c r="I12" s="66" t="s">
        <v>47</v>
      </c>
      <c r="J12" t="s">
        <v>1199</v>
      </c>
      <c r="N12" s="66"/>
      <c r="O12" s="105"/>
      <c r="P12" s="91" t="s">
        <v>47</v>
      </c>
    </row>
    <row r="13" spans="1:18" ht="12.75" customHeight="1" thickTop="1" x14ac:dyDescent="0.2">
      <c r="I13" s="66" t="s">
        <v>49</v>
      </c>
      <c r="J13" t="s">
        <v>1198</v>
      </c>
      <c r="N13" s="66"/>
      <c r="O13" s="105"/>
      <c r="P13" s="91" t="s">
        <v>49</v>
      </c>
    </row>
    <row r="14" spans="1:18" x14ac:dyDescent="0.2">
      <c r="A14" s="615"/>
      <c r="B14" s="615" t="s">
        <v>1197</v>
      </c>
      <c r="C14" s="615"/>
      <c r="E14" s="636"/>
      <c r="F14" s="635"/>
      <c r="I14" s="66" t="s">
        <v>51</v>
      </c>
      <c r="J14" t="s">
        <v>1196</v>
      </c>
      <c r="N14" s="66"/>
      <c r="O14" s="105"/>
      <c r="P14" s="91" t="s">
        <v>51</v>
      </c>
    </row>
    <row r="15" spans="1:18" x14ac:dyDescent="0.2">
      <c r="E15" s="635"/>
      <c r="F15" s="635"/>
      <c r="I15" s="66" t="s">
        <v>53</v>
      </c>
      <c r="J15" t="s">
        <v>1195</v>
      </c>
      <c r="N15" s="66"/>
      <c r="O15" s="105"/>
      <c r="P15" s="91" t="s">
        <v>53</v>
      </c>
    </row>
    <row r="16" spans="1:18" ht="12.75" customHeight="1" x14ac:dyDescent="0.2">
      <c r="B16" s="237"/>
      <c r="C16" s="237"/>
      <c r="D16" s="944" t="s">
        <v>1194</v>
      </c>
      <c r="E16" s="946" t="s">
        <v>1193</v>
      </c>
      <c r="F16" s="944" t="s">
        <v>1192</v>
      </c>
      <c r="G16" s="944" t="s">
        <v>1191</v>
      </c>
      <c r="I16" s="66" t="s">
        <v>55</v>
      </c>
      <c r="J16" t="s">
        <v>1190</v>
      </c>
      <c r="N16" s="66"/>
      <c r="O16" s="105"/>
      <c r="P16" s="91" t="s">
        <v>55</v>
      </c>
    </row>
    <row r="17" spans="1:16" x14ac:dyDescent="0.2">
      <c r="A17" s="615"/>
      <c r="B17" s="615" t="s">
        <v>1189</v>
      </c>
      <c r="C17" s="615"/>
      <c r="D17" s="945"/>
      <c r="E17" s="947"/>
      <c r="F17" s="945"/>
      <c r="G17" s="945"/>
      <c r="I17" s="66" t="s">
        <v>57</v>
      </c>
      <c r="J17" t="s">
        <v>1188</v>
      </c>
      <c r="N17" s="66"/>
      <c r="O17" s="105"/>
      <c r="P17" s="91" t="s">
        <v>57</v>
      </c>
    </row>
    <row r="18" spans="1:16" x14ac:dyDescent="0.2">
      <c r="B18" s="632" t="s">
        <v>1187</v>
      </c>
      <c r="D18" s="88"/>
      <c r="E18" s="88"/>
      <c r="F18" s="88"/>
      <c r="G18" s="83"/>
      <c r="I18" s="66" t="s">
        <v>59</v>
      </c>
      <c r="J18" t="s">
        <v>1186</v>
      </c>
      <c r="N18" s="66"/>
      <c r="O18" s="105"/>
      <c r="P18" s="91" t="s">
        <v>59</v>
      </c>
    </row>
    <row r="19" spans="1:16" x14ac:dyDescent="0.2">
      <c r="B19" s="154" t="s">
        <v>1182</v>
      </c>
      <c r="D19" s="631"/>
      <c r="E19" s="631"/>
      <c r="F19" s="631"/>
      <c r="G19" s="631"/>
      <c r="I19" s="66" t="s">
        <v>61</v>
      </c>
      <c r="J19" t="s">
        <v>1185</v>
      </c>
      <c r="N19" s="66"/>
      <c r="O19" s="105"/>
      <c r="P19" s="91" t="s">
        <v>61</v>
      </c>
    </row>
    <row r="20" spans="1:16" ht="12.75" customHeight="1" thickBot="1" x14ac:dyDescent="0.25">
      <c r="B20" s="154" t="s">
        <v>1180</v>
      </c>
      <c r="D20" s="631"/>
      <c r="E20" s="631"/>
      <c r="F20" s="631"/>
      <c r="G20" s="631"/>
      <c r="I20" s="66" t="s">
        <v>63</v>
      </c>
      <c r="J20" t="s">
        <v>1184</v>
      </c>
      <c r="N20" s="66"/>
      <c r="O20" s="634">
        <f>SUM(O6:O19)</f>
        <v>0</v>
      </c>
      <c r="P20" s="91" t="s">
        <v>63</v>
      </c>
    </row>
    <row r="21" spans="1:16" ht="12.75" customHeight="1" thickTop="1" x14ac:dyDescent="0.2">
      <c r="B21" s="154" t="s">
        <v>1179</v>
      </c>
      <c r="D21" s="633"/>
      <c r="E21" s="633"/>
      <c r="F21" s="633"/>
      <c r="G21" s="633"/>
      <c r="N21" s="66"/>
    </row>
    <row r="22" spans="1:16" ht="12.75" customHeight="1" x14ac:dyDescent="0.2">
      <c r="B22" s="632" t="s">
        <v>1183</v>
      </c>
      <c r="D22" s="83"/>
      <c r="E22" s="83"/>
      <c r="F22" s="83"/>
      <c r="G22" s="83"/>
      <c r="I22" t="s">
        <v>20</v>
      </c>
      <c r="M22" s="680" t="s">
        <v>1326</v>
      </c>
      <c r="N22" s="682"/>
      <c r="O22" s="680" t="s">
        <v>1327</v>
      </c>
    </row>
    <row r="23" spans="1:16" ht="12.75" customHeight="1" x14ac:dyDescent="0.2">
      <c r="B23" s="154" t="s">
        <v>1182</v>
      </c>
      <c r="D23" s="631"/>
      <c r="E23" s="631"/>
      <c r="F23" s="631"/>
      <c r="G23" s="631"/>
      <c r="H23" s="628"/>
      <c r="J23" s="615" t="s">
        <v>1181</v>
      </c>
      <c r="K23" s="615"/>
      <c r="L23" s="7" t="s">
        <v>16</v>
      </c>
      <c r="M23" s="27"/>
      <c r="N23" s="7" t="s">
        <v>16</v>
      </c>
      <c r="O23" s="27"/>
    </row>
    <row r="24" spans="1:16" ht="12.75" customHeight="1" x14ac:dyDescent="0.2">
      <c r="B24" s="154" t="s">
        <v>1180</v>
      </c>
      <c r="D24" s="631"/>
      <c r="E24" s="631"/>
      <c r="F24" s="631"/>
      <c r="G24" s="631"/>
      <c r="H24" s="628"/>
      <c r="L24" s="7"/>
      <c r="M24" s="29"/>
      <c r="N24" s="7"/>
      <c r="O24" s="29"/>
    </row>
    <row r="25" spans="1:16" ht="12.75" customHeight="1" x14ac:dyDescent="0.2">
      <c r="B25" s="154" t="s">
        <v>1179</v>
      </c>
      <c r="D25" s="630"/>
      <c r="E25" s="630"/>
      <c r="F25" s="630"/>
      <c r="G25" s="630"/>
      <c r="H25" s="568"/>
      <c r="N25" s="7"/>
      <c r="O25" s="628"/>
    </row>
    <row r="26" spans="1:16" ht="12.75" customHeight="1" x14ac:dyDescent="0.2">
      <c r="B26" s="629"/>
      <c r="H26" s="568"/>
      <c r="N26" s="7"/>
      <c r="O26" s="628"/>
    </row>
    <row r="27" spans="1:16" ht="12.75" customHeight="1" x14ac:dyDescent="0.2">
      <c r="B27" s="154" t="s">
        <v>1178</v>
      </c>
      <c r="H27" s="568"/>
      <c r="N27" s="7"/>
      <c r="O27" s="628"/>
    </row>
    <row r="28" spans="1:16" ht="12.75" customHeight="1" x14ac:dyDescent="0.2">
      <c r="J28" s="615" t="s">
        <v>1177</v>
      </c>
      <c r="K28" s="615"/>
      <c r="L28" s="627"/>
      <c r="M28" s="615"/>
      <c r="N28" s="615"/>
    </row>
    <row r="29" spans="1:16" ht="12.75" customHeight="1" x14ac:dyDescent="0.2">
      <c r="A29" s="615"/>
      <c r="B29" s="615" t="s">
        <v>1176</v>
      </c>
      <c r="C29" s="615"/>
      <c r="D29" s="625" t="s">
        <v>1175</v>
      </c>
      <c r="E29" s="625" t="s">
        <v>1174</v>
      </c>
      <c r="F29" s="626" t="s">
        <v>298</v>
      </c>
      <c r="G29" s="625" t="s">
        <v>1173</v>
      </c>
      <c r="H29" s="607"/>
      <c r="J29" s="624" t="s">
        <v>1172</v>
      </c>
      <c r="K29" s="160"/>
      <c r="L29" s="72"/>
      <c r="M29" s="72"/>
      <c r="N29" s="72"/>
      <c r="O29" s="621"/>
      <c r="P29" s="73"/>
    </row>
    <row r="30" spans="1:16" ht="12.75" customHeight="1" x14ac:dyDescent="0.2">
      <c r="B30" t="s">
        <v>1171</v>
      </c>
      <c r="D30" s="619"/>
      <c r="E30" s="619"/>
      <c r="F30" s="619"/>
      <c r="G30" s="623"/>
      <c r="H30" s="622"/>
      <c r="J30" s="156" t="s">
        <v>1170</v>
      </c>
      <c r="K30" s="154"/>
      <c r="O30" s="621"/>
      <c r="P30" s="78"/>
    </row>
    <row r="31" spans="1:16" ht="12.75" customHeight="1" x14ac:dyDescent="0.2">
      <c r="B31" t="s">
        <v>1169</v>
      </c>
      <c r="D31" s="619"/>
      <c r="E31" s="619"/>
      <c r="F31" s="619"/>
      <c r="G31" s="623"/>
      <c r="H31" s="618"/>
      <c r="J31" s="156" t="s">
        <v>1168</v>
      </c>
      <c r="K31" s="154"/>
      <c r="O31" s="621"/>
      <c r="P31" s="78"/>
    </row>
    <row r="32" spans="1:16" ht="12.75" customHeight="1" x14ac:dyDescent="0.2">
      <c r="B32" t="s">
        <v>1167</v>
      </c>
      <c r="D32" s="619"/>
      <c r="E32" s="619"/>
      <c r="F32" s="619"/>
      <c r="G32" s="623"/>
      <c r="H32" s="618"/>
      <c r="J32" s="156" t="s">
        <v>1166</v>
      </c>
      <c r="K32" s="154"/>
      <c r="O32" s="621"/>
      <c r="P32" s="78"/>
    </row>
    <row r="33" spans="1:16" ht="12.75" customHeight="1" x14ac:dyDescent="0.2">
      <c r="B33" t="s">
        <v>1165</v>
      </c>
      <c r="D33" s="619"/>
      <c r="E33" s="619"/>
      <c r="F33" s="619"/>
      <c r="G33" s="619"/>
      <c r="H33" s="622"/>
      <c r="J33" s="156" t="s">
        <v>1164</v>
      </c>
      <c r="K33" s="154"/>
      <c r="O33" s="621"/>
      <c r="P33" s="78"/>
    </row>
    <row r="34" spans="1:16" ht="12.75" customHeight="1" x14ac:dyDescent="0.2">
      <c r="B34" t="s">
        <v>1163</v>
      </c>
      <c r="D34" s="619"/>
      <c r="E34" s="619"/>
      <c r="F34" s="619"/>
      <c r="G34" s="619"/>
      <c r="H34" s="618"/>
      <c r="J34" s="156" t="s">
        <v>1162</v>
      </c>
      <c r="K34" s="154"/>
      <c r="O34" s="620"/>
      <c r="P34" s="78"/>
    </row>
    <row r="35" spans="1:16" ht="12.75" customHeight="1" thickBot="1" x14ac:dyDescent="0.25">
      <c r="B35" t="s">
        <v>1161</v>
      </c>
      <c r="D35" s="619"/>
      <c r="E35" s="619"/>
      <c r="F35" s="619"/>
      <c r="G35" s="619"/>
      <c r="H35" s="618"/>
      <c r="J35" s="938" t="s">
        <v>1160</v>
      </c>
      <c r="K35" s="939"/>
      <c r="L35" s="939"/>
      <c r="M35" s="939"/>
      <c r="N35" s="617"/>
      <c r="O35" s="616">
        <f>SUM(O29:O34)</f>
        <v>0</v>
      </c>
      <c r="P35" s="78"/>
    </row>
    <row r="36" spans="1:16" ht="12.75" customHeight="1" thickTop="1" x14ac:dyDescent="0.2">
      <c r="J36" s="941" t="s">
        <v>1159</v>
      </c>
      <c r="K36" s="942"/>
      <c r="L36" s="942"/>
      <c r="M36" s="6"/>
      <c r="N36" s="6"/>
      <c r="O36" s="6"/>
      <c r="P36" s="85"/>
    </row>
    <row r="37" spans="1:16" ht="12.75" customHeight="1" x14ac:dyDescent="0.2">
      <c r="A37" s="615"/>
      <c r="B37" s="615" t="s">
        <v>1158</v>
      </c>
      <c r="C37" s="615"/>
    </row>
    <row r="38" spans="1:16" ht="12.75" customHeight="1" x14ac:dyDescent="0.2">
      <c r="B38" t="s">
        <v>1157</v>
      </c>
      <c r="E38" s="613"/>
    </row>
    <row r="39" spans="1:16" ht="12.75" customHeight="1" x14ac:dyDescent="0.2">
      <c r="E39" s="7"/>
      <c r="F39" s="7"/>
      <c r="O39" s="29"/>
    </row>
    <row r="40" spans="1:16" ht="12.75" customHeight="1" x14ac:dyDescent="0.2">
      <c r="A40" s="615"/>
      <c r="B40" s="615" t="s">
        <v>1156</v>
      </c>
      <c r="C40" s="615"/>
      <c r="D40" s="615"/>
      <c r="E40" s="615"/>
      <c r="F40" s="7" t="s">
        <v>16</v>
      </c>
      <c r="G40" s="614"/>
      <c r="I40" s="306"/>
      <c r="N40" s="7"/>
    </row>
    <row r="41" spans="1:16" ht="12.75" customHeight="1" x14ac:dyDescent="0.2">
      <c r="B41" t="s">
        <v>1155</v>
      </c>
      <c r="C41" s="8"/>
      <c r="D41" s="8"/>
      <c r="H41" s="175"/>
    </row>
    <row r="42" spans="1:16" ht="12.75" customHeight="1" x14ac:dyDescent="0.2"/>
    <row r="43" spans="1:16" ht="12.75" customHeight="1" x14ac:dyDescent="0.2">
      <c r="B43" t="s">
        <v>1154</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27"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dataValidations>
  <hyperlinks>
    <hyperlink ref="B5" location="REVENUES" display="REVENUES"/>
    <hyperlink ref="B14:C14" location="SectionA" display="A.  Number of Operating Months"/>
    <hyperlink ref="B17:C17" location="SectionB" display="B.  Number of Meals Served"/>
    <hyperlink ref="B29" location="SectionC" display="C.  Meal Prices"/>
    <hyperlink ref="B37:C37" location="SectionD" display="D.  Special Milk Program"/>
    <hyperlink ref="B40:E40" location="SectionE" display="E.  State Equalization Assistance expended for Food Service, Function 3100"/>
    <hyperlink ref="D16:D17" location="Breakfasts" display="BREAKFASTS"/>
    <hyperlink ref="E16:E17" location="LunchesSuppers" display="LUNCHES/ SUPPERS"/>
    <hyperlink ref="F16:F17" location="ALaCarte" display="A LA CARTE*"/>
    <hyperlink ref="G16:G17" location="Snacks" display="SNACKS"/>
    <hyperlink ref="J5" location="EXPENSES" display="EXPENSES"/>
    <hyperlink ref="J23:K23" location="SectionF" display="F.  Cash Balances"/>
    <hyperlink ref="J28:N28" location="SectionG" display="G.  Detail of Food Service Management Company Expenses"/>
    <hyperlink ref="B2" location="FoodServiceGen" display="Instructions"/>
  </hyperlinks>
  <pageMargins left="0.7" right="0.7" top="0.22" bottom="0.75" header="0.17" footer="0.3"/>
  <pageSetup paperSize="5" scale="94" orientation="landscape" r:id="rId1"/>
  <headerFooter>
    <oddFooter>&amp;LRev. 8/25 Arizona Department of Education and Auditor General&amp;CFY 2025
No assurance provided.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3"/>
  <sheetViews>
    <sheetView showGridLines="0" workbookViewId="0">
      <selection activeCell="Q34" sqref="Q33:R34"/>
    </sheetView>
  </sheetViews>
  <sheetFormatPr defaultColWidth="9.33203125" defaultRowHeight="12.75" x14ac:dyDescent="0.2"/>
  <cols>
    <col min="1" max="1" width="38.1640625" style="415" customWidth="1"/>
    <col min="2" max="3" width="16.33203125" style="415" customWidth="1"/>
    <col min="4" max="4" width="15.1640625" style="415" customWidth="1"/>
    <col min="5" max="5" width="15.6640625" style="415" customWidth="1"/>
    <col min="6" max="6" width="15.1640625" style="415" customWidth="1"/>
    <col min="7" max="7" width="16.33203125" style="415" customWidth="1"/>
    <col min="8" max="8" width="19.33203125" style="415" customWidth="1"/>
    <col min="9" max="10" width="15.6640625" style="415" customWidth="1"/>
    <col min="11" max="11" width="17" style="415" customWidth="1"/>
    <col min="12" max="12" width="8.83203125" style="415" customWidth="1"/>
    <col min="13" max="13" width="5.33203125" style="415" customWidth="1"/>
    <col min="14" max="14" width="12.33203125" style="415" customWidth="1"/>
    <col min="15" max="255" width="8.83203125" style="415" customWidth="1"/>
    <col min="256" max="256" width="32.33203125" style="415" bestFit="1" customWidth="1"/>
    <col min="257" max="257" width="22.1640625" style="415" customWidth="1"/>
    <col min="258" max="258" width="14.33203125" style="415" customWidth="1"/>
    <col min="259" max="259" width="19" style="415" customWidth="1"/>
    <col min="260" max="260" width="8.83203125" style="415" customWidth="1"/>
    <col min="261" max="261" width="11.33203125" style="415" customWidth="1"/>
    <col min="262" max="262" width="8.83203125" style="415" customWidth="1"/>
    <col min="263" max="263" width="6.33203125" style="415" customWidth="1"/>
    <col min="264" max="264" width="14.33203125" style="415" customWidth="1"/>
    <col min="265" max="268" width="8.83203125" style="415" customWidth="1"/>
    <col min="269" max="269" width="17.83203125" style="415" customWidth="1"/>
    <col min="270" max="511" width="8.83203125" style="415" customWidth="1"/>
    <col min="512" max="512" width="32.33203125" style="415" bestFit="1" customWidth="1"/>
    <col min="513" max="513" width="22.1640625" style="415" customWidth="1"/>
    <col min="514" max="514" width="14.33203125" style="415" customWidth="1"/>
    <col min="515" max="515" width="19" style="415" customWidth="1"/>
    <col min="516" max="516" width="8.83203125" style="415" customWidth="1"/>
    <col min="517" max="517" width="11.33203125" style="415" customWidth="1"/>
    <col min="518" max="518" width="8.83203125" style="415" customWidth="1"/>
    <col min="519" max="519" width="6.33203125" style="415" customWidth="1"/>
    <col min="520" max="520" width="14.33203125" style="415" customWidth="1"/>
    <col min="521" max="524" width="8.83203125" style="415" customWidth="1"/>
    <col min="525" max="525" width="17.83203125" style="415" customWidth="1"/>
    <col min="526" max="767" width="8.83203125" style="415" customWidth="1"/>
    <col min="768" max="768" width="32.33203125" style="415" bestFit="1" customWidth="1"/>
    <col min="769" max="769" width="22.1640625" style="415" customWidth="1"/>
    <col min="770" max="770" width="14.33203125" style="415" customWidth="1"/>
    <col min="771" max="771" width="19" style="415" customWidth="1"/>
    <col min="772" max="772" width="8.83203125" style="415" customWidth="1"/>
    <col min="773" max="773" width="11.33203125" style="415" customWidth="1"/>
    <col min="774" max="774" width="8.83203125" style="415" customWidth="1"/>
    <col min="775" max="775" width="6.33203125" style="415" customWidth="1"/>
    <col min="776" max="776" width="14.33203125" style="415" customWidth="1"/>
    <col min="777" max="780" width="8.83203125" style="415" customWidth="1"/>
    <col min="781" max="781" width="17.83203125" style="415" customWidth="1"/>
    <col min="782" max="1023" width="8.83203125" style="415" customWidth="1"/>
    <col min="1024" max="1024" width="32.33203125" style="415" bestFit="1" customWidth="1"/>
    <col min="1025" max="1025" width="22.1640625" style="415" customWidth="1"/>
    <col min="1026" max="1026" width="14.33203125" style="415" customWidth="1"/>
    <col min="1027" max="1027" width="19" style="415" customWidth="1"/>
    <col min="1028" max="1028" width="8.83203125" style="415" customWidth="1"/>
    <col min="1029" max="1029" width="11.33203125" style="415" customWidth="1"/>
    <col min="1030" max="1030" width="8.83203125" style="415" customWidth="1"/>
    <col min="1031" max="1031" width="6.33203125" style="415" customWidth="1"/>
    <col min="1032" max="1032" width="14.33203125" style="415" customWidth="1"/>
    <col min="1033" max="1036" width="8.83203125" style="415" customWidth="1"/>
    <col min="1037" max="1037" width="17.83203125" style="415" customWidth="1"/>
    <col min="1038" max="1279" width="8.83203125" style="415" customWidth="1"/>
    <col min="1280" max="1280" width="32.33203125" style="415" bestFit="1" customWidth="1"/>
    <col min="1281" max="1281" width="22.1640625" style="415" customWidth="1"/>
    <col min="1282" max="1282" width="14.33203125" style="415" customWidth="1"/>
    <col min="1283" max="1283" width="19" style="415" customWidth="1"/>
    <col min="1284" max="1284" width="8.83203125" style="415" customWidth="1"/>
    <col min="1285" max="1285" width="11.33203125" style="415" customWidth="1"/>
    <col min="1286" max="1286" width="8.83203125" style="415" customWidth="1"/>
    <col min="1287" max="1287" width="6.33203125" style="415" customWidth="1"/>
    <col min="1288" max="1288" width="14.33203125" style="415" customWidth="1"/>
    <col min="1289" max="1292" width="8.83203125" style="415" customWidth="1"/>
    <col min="1293" max="1293" width="17.83203125" style="415" customWidth="1"/>
    <col min="1294" max="1535" width="8.83203125" style="415" customWidth="1"/>
    <col min="1536" max="1536" width="32.33203125" style="415" bestFit="1" customWidth="1"/>
    <col min="1537" max="1537" width="22.1640625" style="415" customWidth="1"/>
    <col min="1538" max="1538" width="14.33203125" style="415" customWidth="1"/>
    <col min="1539" max="1539" width="19" style="415" customWidth="1"/>
    <col min="1540" max="1540" width="8.83203125" style="415" customWidth="1"/>
    <col min="1541" max="1541" width="11.33203125" style="415" customWidth="1"/>
    <col min="1542" max="1542" width="8.83203125" style="415" customWidth="1"/>
    <col min="1543" max="1543" width="6.33203125" style="415" customWidth="1"/>
    <col min="1544" max="1544" width="14.33203125" style="415" customWidth="1"/>
    <col min="1545" max="1548" width="8.83203125" style="415" customWidth="1"/>
    <col min="1549" max="1549" width="17.83203125" style="415" customWidth="1"/>
    <col min="1550" max="1791" width="8.83203125" style="415" customWidth="1"/>
    <col min="1792" max="1792" width="32.33203125" style="415" bestFit="1" customWidth="1"/>
    <col min="1793" max="1793" width="22.1640625" style="415" customWidth="1"/>
    <col min="1794" max="1794" width="14.33203125" style="415" customWidth="1"/>
    <col min="1795" max="1795" width="19" style="415" customWidth="1"/>
    <col min="1796" max="1796" width="8.83203125" style="415" customWidth="1"/>
    <col min="1797" max="1797" width="11.33203125" style="415" customWidth="1"/>
    <col min="1798" max="1798" width="8.83203125" style="415" customWidth="1"/>
    <col min="1799" max="1799" width="6.33203125" style="415" customWidth="1"/>
    <col min="1800" max="1800" width="14.33203125" style="415" customWidth="1"/>
    <col min="1801" max="1804" width="8.83203125" style="415" customWidth="1"/>
    <col min="1805" max="1805" width="17.83203125" style="415" customWidth="1"/>
    <col min="1806" max="2047" width="8.83203125" style="415" customWidth="1"/>
    <col min="2048" max="2048" width="32.33203125" style="415" bestFit="1" customWidth="1"/>
    <col min="2049" max="2049" width="22.1640625" style="415" customWidth="1"/>
    <col min="2050" max="2050" width="14.33203125" style="415" customWidth="1"/>
    <col min="2051" max="2051" width="19" style="415" customWidth="1"/>
    <col min="2052" max="2052" width="8.83203125" style="415" customWidth="1"/>
    <col min="2053" max="2053" width="11.33203125" style="415" customWidth="1"/>
    <col min="2054" max="2054" width="8.83203125" style="415" customWidth="1"/>
    <col min="2055" max="2055" width="6.33203125" style="415" customWidth="1"/>
    <col min="2056" max="2056" width="14.33203125" style="415" customWidth="1"/>
    <col min="2057" max="2060" width="8.83203125" style="415" customWidth="1"/>
    <col min="2061" max="2061" width="17.83203125" style="415" customWidth="1"/>
    <col min="2062" max="2303" width="8.83203125" style="415" customWidth="1"/>
    <col min="2304" max="2304" width="32.33203125" style="415" bestFit="1" customWidth="1"/>
    <col min="2305" max="2305" width="22.1640625" style="415" customWidth="1"/>
    <col min="2306" max="2306" width="14.33203125" style="415" customWidth="1"/>
    <col min="2307" max="2307" width="19" style="415" customWidth="1"/>
    <col min="2308" max="2308" width="8.83203125" style="415" customWidth="1"/>
    <col min="2309" max="2309" width="11.33203125" style="415" customWidth="1"/>
    <col min="2310" max="2310" width="8.83203125" style="415" customWidth="1"/>
    <col min="2311" max="2311" width="6.33203125" style="415" customWidth="1"/>
    <col min="2312" max="2312" width="14.33203125" style="415" customWidth="1"/>
    <col min="2313" max="2316" width="8.83203125" style="415" customWidth="1"/>
    <col min="2317" max="2317" width="17.83203125" style="415" customWidth="1"/>
    <col min="2318" max="2559" width="8.83203125" style="415" customWidth="1"/>
    <col min="2560" max="2560" width="32.33203125" style="415" bestFit="1" customWidth="1"/>
    <col min="2561" max="2561" width="22.1640625" style="415" customWidth="1"/>
    <col min="2562" max="2562" width="14.33203125" style="415" customWidth="1"/>
    <col min="2563" max="2563" width="19" style="415" customWidth="1"/>
    <col min="2564" max="2564" width="8.83203125" style="415" customWidth="1"/>
    <col min="2565" max="2565" width="11.33203125" style="415" customWidth="1"/>
    <col min="2566" max="2566" width="8.83203125" style="415" customWidth="1"/>
    <col min="2567" max="2567" width="6.33203125" style="415" customWidth="1"/>
    <col min="2568" max="2568" width="14.33203125" style="415" customWidth="1"/>
    <col min="2569" max="2572" width="8.83203125" style="415" customWidth="1"/>
    <col min="2573" max="2573" width="17.83203125" style="415" customWidth="1"/>
    <col min="2574" max="2815" width="8.83203125" style="415" customWidth="1"/>
    <col min="2816" max="2816" width="32.33203125" style="415" bestFit="1" customWidth="1"/>
    <col min="2817" max="2817" width="22.1640625" style="415" customWidth="1"/>
    <col min="2818" max="2818" width="14.33203125" style="415" customWidth="1"/>
    <col min="2819" max="2819" width="19" style="415" customWidth="1"/>
    <col min="2820" max="2820" width="8.83203125" style="415" customWidth="1"/>
    <col min="2821" max="2821" width="11.33203125" style="415" customWidth="1"/>
    <col min="2822" max="2822" width="8.83203125" style="415" customWidth="1"/>
    <col min="2823" max="2823" width="6.33203125" style="415" customWidth="1"/>
    <col min="2824" max="2824" width="14.33203125" style="415" customWidth="1"/>
    <col min="2825" max="2828" width="8.83203125" style="415" customWidth="1"/>
    <col min="2829" max="2829" width="17.83203125" style="415" customWidth="1"/>
    <col min="2830" max="3071" width="8.83203125" style="415" customWidth="1"/>
    <col min="3072" max="3072" width="32.33203125" style="415" bestFit="1" customWidth="1"/>
    <col min="3073" max="3073" width="22.1640625" style="415" customWidth="1"/>
    <col min="3074" max="3074" width="14.33203125" style="415" customWidth="1"/>
    <col min="3075" max="3075" width="19" style="415" customWidth="1"/>
    <col min="3076" max="3076" width="8.83203125" style="415" customWidth="1"/>
    <col min="3077" max="3077" width="11.33203125" style="415" customWidth="1"/>
    <col min="3078" max="3078" width="8.83203125" style="415" customWidth="1"/>
    <col min="3079" max="3079" width="6.33203125" style="415" customWidth="1"/>
    <col min="3080" max="3080" width="14.33203125" style="415" customWidth="1"/>
    <col min="3081" max="3084" width="8.83203125" style="415" customWidth="1"/>
    <col min="3085" max="3085" width="17.83203125" style="415" customWidth="1"/>
    <col min="3086" max="3327" width="8.83203125" style="415" customWidth="1"/>
    <col min="3328" max="3328" width="32.33203125" style="415" bestFit="1" customWidth="1"/>
    <col min="3329" max="3329" width="22.1640625" style="415" customWidth="1"/>
    <col min="3330" max="3330" width="14.33203125" style="415" customWidth="1"/>
    <col min="3331" max="3331" width="19" style="415" customWidth="1"/>
    <col min="3332" max="3332" width="8.83203125" style="415" customWidth="1"/>
    <col min="3333" max="3333" width="11.33203125" style="415" customWidth="1"/>
    <col min="3334" max="3334" width="8.83203125" style="415" customWidth="1"/>
    <col min="3335" max="3335" width="6.33203125" style="415" customWidth="1"/>
    <col min="3336" max="3336" width="14.33203125" style="415" customWidth="1"/>
    <col min="3337" max="3340" width="8.83203125" style="415" customWidth="1"/>
    <col min="3341" max="3341" width="17.83203125" style="415" customWidth="1"/>
    <col min="3342" max="3583" width="8.83203125" style="415" customWidth="1"/>
    <col min="3584" max="3584" width="32.33203125" style="415" bestFit="1" customWidth="1"/>
    <col min="3585" max="3585" width="22.1640625" style="415" customWidth="1"/>
    <col min="3586" max="3586" width="14.33203125" style="415" customWidth="1"/>
    <col min="3587" max="3587" width="19" style="415" customWidth="1"/>
    <col min="3588" max="3588" width="8.83203125" style="415" customWidth="1"/>
    <col min="3589" max="3589" width="11.33203125" style="415" customWidth="1"/>
    <col min="3590" max="3590" width="8.83203125" style="415" customWidth="1"/>
    <col min="3591" max="3591" width="6.33203125" style="415" customWidth="1"/>
    <col min="3592" max="3592" width="14.33203125" style="415" customWidth="1"/>
    <col min="3593" max="3596" width="8.83203125" style="415" customWidth="1"/>
    <col min="3597" max="3597" width="17.83203125" style="415" customWidth="1"/>
    <col min="3598" max="3839" width="8.83203125" style="415" customWidth="1"/>
    <col min="3840" max="3840" width="32.33203125" style="415" bestFit="1" customWidth="1"/>
    <col min="3841" max="3841" width="22.1640625" style="415" customWidth="1"/>
    <col min="3842" max="3842" width="14.33203125" style="415" customWidth="1"/>
    <col min="3843" max="3843" width="19" style="415" customWidth="1"/>
    <col min="3844" max="3844" width="8.83203125" style="415" customWidth="1"/>
    <col min="3845" max="3845" width="11.33203125" style="415" customWidth="1"/>
    <col min="3846" max="3846" width="8.83203125" style="415" customWidth="1"/>
    <col min="3847" max="3847" width="6.33203125" style="415" customWidth="1"/>
    <col min="3848" max="3848" width="14.33203125" style="415" customWidth="1"/>
    <col min="3849" max="3852" width="8.83203125" style="415" customWidth="1"/>
    <col min="3853" max="3853" width="17.83203125" style="415" customWidth="1"/>
    <col min="3854" max="4095" width="8.83203125" style="415" customWidth="1"/>
    <col min="4096" max="4096" width="32.33203125" style="415" bestFit="1" customWidth="1"/>
    <col min="4097" max="4097" width="22.1640625" style="415" customWidth="1"/>
    <col min="4098" max="4098" width="14.33203125" style="415" customWidth="1"/>
    <col min="4099" max="4099" width="19" style="415" customWidth="1"/>
    <col min="4100" max="4100" width="8.83203125" style="415" customWidth="1"/>
    <col min="4101" max="4101" width="11.33203125" style="415" customWidth="1"/>
    <col min="4102" max="4102" width="8.83203125" style="415" customWidth="1"/>
    <col min="4103" max="4103" width="6.33203125" style="415" customWidth="1"/>
    <col min="4104" max="4104" width="14.33203125" style="415" customWidth="1"/>
    <col min="4105" max="4108" width="8.83203125" style="415" customWidth="1"/>
    <col min="4109" max="4109" width="17.83203125" style="415" customWidth="1"/>
    <col min="4110" max="4351" width="8.83203125" style="415" customWidth="1"/>
    <col min="4352" max="4352" width="32.33203125" style="415" bestFit="1" customWidth="1"/>
    <col min="4353" max="4353" width="22.1640625" style="415" customWidth="1"/>
    <col min="4354" max="4354" width="14.33203125" style="415" customWidth="1"/>
    <col min="4355" max="4355" width="19" style="415" customWidth="1"/>
    <col min="4356" max="4356" width="8.83203125" style="415" customWidth="1"/>
    <col min="4357" max="4357" width="11.33203125" style="415" customWidth="1"/>
    <col min="4358" max="4358" width="8.83203125" style="415" customWidth="1"/>
    <col min="4359" max="4359" width="6.33203125" style="415" customWidth="1"/>
    <col min="4360" max="4360" width="14.33203125" style="415" customWidth="1"/>
    <col min="4361" max="4364" width="8.83203125" style="415" customWidth="1"/>
    <col min="4365" max="4365" width="17.83203125" style="415" customWidth="1"/>
    <col min="4366" max="4607" width="8.83203125" style="415" customWidth="1"/>
    <col min="4608" max="4608" width="32.33203125" style="415" bestFit="1" customWidth="1"/>
    <col min="4609" max="4609" width="22.1640625" style="415" customWidth="1"/>
    <col min="4610" max="4610" width="14.33203125" style="415" customWidth="1"/>
    <col min="4611" max="4611" width="19" style="415" customWidth="1"/>
    <col min="4612" max="4612" width="8.83203125" style="415" customWidth="1"/>
    <col min="4613" max="4613" width="11.33203125" style="415" customWidth="1"/>
    <col min="4614" max="4614" width="8.83203125" style="415" customWidth="1"/>
    <col min="4615" max="4615" width="6.33203125" style="415" customWidth="1"/>
    <col min="4616" max="4616" width="14.33203125" style="415" customWidth="1"/>
    <col min="4617" max="4620" width="8.83203125" style="415" customWidth="1"/>
    <col min="4621" max="4621" width="17.83203125" style="415" customWidth="1"/>
    <col min="4622" max="4863" width="8.83203125" style="415" customWidth="1"/>
    <col min="4864" max="4864" width="32.33203125" style="415" bestFit="1" customWidth="1"/>
    <col min="4865" max="4865" width="22.1640625" style="415" customWidth="1"/>
    <col min="4866" max="4866" width="14.33203125" style="415" customWidth="1"/>
    <col min="4867" max="4867" width="19" style="415" customWidth="1"/>
    <col min="4868" max="4868" width="8.83203125" style="415" customWidth="1"/>
    <col min="4869" max="4869" width="11.33203125" style="415" customWidth="1"/>
    <col min="4870" max="4870" width="8.83203125" style="415" customWidth="1"/>
    <col min="4871" max="4871" width="6.33203125" style="415" customWidth="1"/>
    <col min="4872" max="4872" width="14.33203125" style="415" customWidth="1"/>
    <col min="4873" max="4876" width="8.83203125" style="415" customWidth="1"/>
    <col min="4877" max="4877" width="17.83203125" style="415" customWidth="1"/>
    <col min="4878" max="5119" width="8.83203125" style="415" customWidth="1"/>
    <col min="5120" max="5120" width="32.33203125" style="415" bestFit="1" customWidth="1"/>
    <col min="5121" max="5121" width="22.1640625" style="415" customWidth="1"/>
    <col min="5122" max="5122" width="14.33203125" style="415" customWidth="1"/>
    <col min="5123" max="5123" width="19" style="415" customWidth="1"/>
    <col min="5124" max="5124" width="8.83203125" style="415" customWidth="1"/>
    <col min="5125" max="5125" width="11.33203125" style="415" customWidth="1"/>
    <col min="5126" max="5126" width="8.83203125" style="415" customWidth="1"/>
    <col min="5127" max="5127" width="6.33203125" style="415" customWidth="1"/>
    <col min="5128" max="5128" width="14.33203125" style="415" customWidth="1"/>
    <col min="5129" max="5132" width="8.83203125" style="415" customWidth="1"/>
    <col min="5133" max="5133" width="17.83203125" style="415" customWidth="1"/>
    <col min="5134" max="5375" width="8.83203125" style="415" customWidth="1"/>
    <col min="5376" max="5376" width="32.33203125" style="415" bestFit="1" customWidth="1"/>
    <col min="5377" max="5377" width="22.1640625" style="415" customWidth="1"/>
    <col min="5378" max="5378" width="14.33203125" style="415" customWidth="1"/>
    <col min="5379" max="5379" width="19" style="415" customWidth="1"/>
    <col min="5380" max="5380" width="8.83203125" style="415" customWidth="1"/>
    <col min="5381" max="5381" width="11.33203125" style="415" customWidth="1"/>
    <col min="5382" max="5382" width="8.83203125" style="415" customWidth="1"/>
    <col min="5383" max="5383" width="6.33203125" style="415" customWidth="1"/>
    <col min="5384" max="5384" width="14.33203125" style="415" customWidth="1"/>
    <col min="5385" max="5388" width="8.83203125" style="415" customWidth="1"/>
    <col min="5389" max="5389" width="17.83203125" style="415" customWidth="1"/>
    <col min="5390" max="5631" width="8.83203125" style="415" customWidth="1"/>
    <col min="5632" max="5632" width="32.33203125" style="415" bestFit="1" customWidth="1"/>
    <col min="5633" max="5633" width="22.1640625" style="415" customWidth="1"/>
    <col min="5634" max="5634" width="14.33203125" style="415" customWidth="1"/>
    <col min="5635" max="5635" width="19" style="415" customWidth="1"/>
    <col min="5636" max="5636" width="8.83203125" style="415" customWidth="1"/>
    <col min="5637" max="5637" width="11.33203125" style="415" customWidth="1"/>
    <col min="5638" max="5638" width="8.83203125" style="415" customWidth="1"/>
    <col min="5639" max="5639" width="6.33203125" style="415" customWidth="1"/>
    <col min="5640" max="5640" width="14.33203125" style="415" customWidth="1"/>
    <col min="5641" max="5644" width="8.83203125" style="415" customWidth="1"/>
    <col min="5645" max="5645" width="17.83203125" style="415" customWidth="1"/>
    <col min="5646" max="5887" width="8.83203125" style="415" customWidth="1"/>
    <col min="5888" max="5888" width="32.33203125" style="415" bestFit="1" customWidth="1"/>
    <col min="5889" max="5889" width="22.1640625" style="415" customWidth="1"/>
    <col min="5890" max="5890" width="14.33203125" style="415" customWidth="1"/>
    <col min="5891" max="5891" width="19" style="415" customWidth="1"/>
    <col min="5892" max="5892" width="8.83203125" style="415" customWidth="1"/>
    <col min="5893" max="5893" width="11.33203125" style="415" customWidth="1"/>
    <col min="5894" max="5894" width="8.83203125" style="415" customWidth="1"/>
    <col min="5895" max="5895" width="6.33203125" style="415" customWidth="1"/>
    <col min="5896" max="5896" width="14.33203125" style="415" customWidth="1"/>
    <col min="5897" max="5900" width="8.83203125" style="415" customWidth="1"/>
    <col min="5901" max="5901" width="17.83203125" style="415" customWidth="1"/>
    <col min="5902" max="6143" width="8.83203125" style="415" customWidth="1"/>
    <col min="6144" max="6144" width="32.33203125" style="415" bestFit="1" customWidth="1"/>
    <col min="6145" max="6145" width="22.1640625" style="415" customWidth="1"/>
    <col min="6146" max="6146" width="14.33203125" style="415" customWidth="1"/>
    <col min="6147" max="6147" width="19" style="415" customWidth="1"/>
    <col min="6148" max="6148" width="8.83203125" style="415" customWidth="1"/>
    <col min="6149" max="6149" width="11.33203125" style="415" customWidth="1"/>
    <col min="6150" max="6150" width="8.83203125" style="415" customWidth="1"/>
    <col min="6151" max="6151" width="6.33203125" style="415" customWidth="1"/>
    <col min="6152" max="6152" width="14.33203125" style="415" customWidth="1"/>
    <col min="6153" max="6156" width="8.83203125" style="415" customWidth="1"/>
    <col min="6157" max="6157" width="17.83203125" style="415" customWidth="1"/>
    <col min="6158" max="6399" width="8.83203125" style="415" customWidth="1"/>
    <col min="6400" max="6400" width="32.33203125" style="415" bestFit="1" customWidth="1"/>
    <col min="6401" max="6401" width="22.1640625" style="415" customWidth="1"/>
    <col min="6402" max="6402" width="14.33203125" style="415" customWidth="1"/>
    <col min="6403" max="6403" width="19" style="415" customWidth="1"/>
    <col min="6404" max="6404" width="8.83203125" style="415" customWidth="1"/>
    <col min="6405" max="6405" width="11.33203125" style="415" customWidth="1"/>
    <col min="6406" max="6406" width="8.83203125" style="415" customWidth="1"/>
    <col min="6407" max="6407" width="6.33203125" style="415" customWidth="1"/>
    <col min="6408" max="6408" width="14.33203125" style="415" customWidth="1"/>
    <col min="6409" max="6412" width="8.83203125" style="415" customWidth="1"/>
    <col min="6413" max="6413" width="17.83203125" style="415" customWidth="1"/>
    <col min="6414" max="6655" width="8.83203125" style="415" customWidth="1"/>
    <col min="6656" max="6656" width="32.33203125" style="415" bestFit="1" customWidth="1"/>
    <col min="6657" max="6657" width="22.1640625" style="415" customWidth="1"/>
    <col min="6658" max="6658" width="14.33203125" style="415" customWidth="1"/>
    <col min="6659" max="6659" width="19" style="415" customWidth="1"/>
    <col min="6660" max="6660" width="8.83203125" style="415" customWidth="1"/>
    <col min="6661" max="6661" width="11.33203125" style="415" customWidth="1"/>
    <col min="6662" max="6662" width="8.83203125" style="415" customWidth="1"/>
    <col min="6663" max="6663" width="6.33203125" style="415" customWidth="1"/>
    <col min="6664" max="6664" width="14.33203125" style="415" customWidth="1"/>
    <col min="6665" max="6668" width="8.83203125" style="415" customWidth="1"/>
    <col min="6669" max="6669" width="17.83203125" style="415" customWidth="1"/>
    <col min="6670" max="6911" width="8.83203125" style="415" customWidth="1"/>
    <col min="6912" max="6912" width="32.33203125" style="415" bestFit="1" customWidth="1"/>
    <col min="6913" max="6913" width="22.1640625" style="415" customWidth="1"/>
    <col min="6914" max="6914" width="14.33203125" style="415" customWidth="1"/>
    <col min="6915" max="6915" width="19" style="415" customWidth="1"/>
    <col min="6916" max="6916" width="8.83203125" style="415" customWidth="1"/>
    <col min="6917" max="6917" width="11.33203125" style="415" customWidth="1"/>
    <col min="6918" max="6918" width="8.83203125" style="415" customWidth="1"/>
    <col min="6919" max="6919" width="6.33203125" style="415" customWidth="1"/>
    <col min="6920" max="6920" width="14.33203125" style="415" customWidth="1"/>
    <col min="6921" max="6924" width="8.83203125" style="415" customWidth="1"/>
    <col min="6925" max="6925" width="17.83203125" style="415" customWidth="1"/>
    <col min="6926" max="7167" width="8.83203125" style="415" customWidth="1"/>
    <col min="7168" max="7168" width="32.33203125" style="415" bestFit="1" customWidth="1"/>
    <col min="7169" max="7169" width="22.1640625" style="415" customWidth="1"/>
    <col min="7170" max="7170" width="14.33203125" style="415" customWidth="1"/>
    <col min="7171" max="7171" width="19" style="415" customWidth="1"/>
    <col min="7172" max="7172" width="8.83203125" style="415" customWidth="1"/>
    <col min="7173" max="7173" width="11.33203125" style="415" customWidth="1"/>
    <col min="7174" max="7174" width="8.83203125" style="415" customWidth="1"/>
    <col min="7175" max="7175" width="6.33203125" style="415" customWidth="1"/>
    <col min="7176" max="7176" width="14.33203125" style="415" customWidth="1"/>
    <col min="7177" max="7180" width="8.83203125" style="415" customWidth="1"/>
    <col min="7181" max="7181" width="17.83203125" style="415" customWidth="1"/>
    <col min="7182" max="7423" width="8.83203125" style="415" customWidth="1"/>
    <col min="7424" max="7424" width="32.33203125" style="415" bestFit="1" customWidth="1"/>
    <col min="7425" max="7425" width="22.1640625" style="415" customWidth="1"/>
    <col min="7426" max="7426" width="14.33203125" style="415" customWidth="1"/>
    <col min="7427" max="7427" width="19" style="415" customWidth="1"/>
    <col min="7428" max="7428" width="8.83203125" style="415" customWidth="1"/>
    <col min="7429" max="7429" width="11.33203125" style="415" customWidth="1"/>
    <col min="7430" max="7430" width="8.83203125" style="415" customWidth="1"/>
    <col min="7431" max="7431" width="6.33203125" style="415" customWidth="1"/>
    <col min="7432" max="7432" width="14.33203125" style="415" customWidth="1"/>
    <col min="7433" max="7436" width="8.83203125" style="415" customWidth="1"/>
    <col min="7437" max="7437" width="17.83203125" style="415" customWidth="1"/>
    <col min="7438" max="7679" width="8.83203125" style="415" customWidth="1"/>
    <col min="7680" max="7680" width="32.33203125" style="415" bestFit="1" customWidth="1"/>
    <col min="7681" max="7681" width="22.1640625" style="415" customWidth="1"/>
    <col min="7682" max="7682" width="14.33203125" style="415" customWidth="1"/>
    <col min="7683" max="7683" width="19" style="415" customWidth="1"/>
    <col min="7684" max="7684" width="8.83203125" style="415" customWidth="1"/>
    <col min="7685" max="7685" width="11.33203125" style="415" customWidth="1"/>
    <col min="7686" max="7686" width="8.83203125" style="415" customWidth="1"/>
    <col min="7687" max="7687" width="6.33203125" style="415" customWidth="1"/>
    <col min="7688" max="7688" width="14.33203125" style="415" customWidth="1"/>
    <col min="7689" max="7692" width="8.83203125" style="415" customWidth="1"/>
    <col min="7693" max="7693" width="17.83203125" style="415" customWidth="1"/>
    <col min="7694" max="7935" width="8.83203125" style="415" customWidth="1"/>
    <col min="7936" max="7936" width="32.33203125" style="415" bestFit="1" customWidth="1"/>
    <col min="7937" max="7937" width="22.1640625" style="415" customWidth="1"/>
    <col min="7938" max="7938" width="14.33203125" style="415" customWidth="1"/>
    <col min="7939" max="7939" width="19" style="415" customWidth="1"/>
    <col min="7940" max="7940" width="8.83203125" style="415" customWidth="1"/>
    <col min="7941" max="7941" width="11.33203125" style="415" customWidth="1"/>
    <col min="7942" max="7942" width="8.83203125" style="415" customWidth="1"/>
    <col min="7943" max="7943" width="6.33203125" style="415" customWidth="1"/>
    <col min="7944" max="7944" width="14.33203125" style="415" customWidth="1"/>
    <col min="7945" max="7948" width="8.83203125" style="415" customWidth="1"/>
    <col min="7949" max="7949" width="17.83203125" style="415" customWidth="1"/>
    <col min="7950" max="8191" width="8.83203125" style="415" customWidth="1"/>
    <col min="8192" max="8192" width="32.33203125" style="415" bestFit="1" customWidth="1"/>
    <col min="8193" max="8193" width="22.1640625" style="415" customWidth="1"/>
    <col min="8194" max="8194" width="14.33203125" style="415" customWidth="1"/>
    <col min="8195" max="8195" width="19" style="415" customWidth="1"/>
    <col min="8196" max="8196" width="8.83203125" style="415" customWidth="1"/>
    <col min="8197" max="8197" width="11.33203125" style="415" customWidth="1"/>
    <col min="8198" max="8198" width="8.83203125" style="415" customWidth="1"/>
    <col min="8199" max="8199" width="6.33203125" style="415" customWidth="1"/>
    <col min="8200" max="8200" width="14.33203125" style="415" customWidth="1"/>
    <col min="8201" max="8204" width="8.83203125" style="415" customWidth="1"/>
    <col min="8205" max="8205" width="17.83203125" style="415" customWidth="1"/>
    <col min="8206" max="8447" width="8.83203125" style="415" customWidth="1"/>
    <col min="8448" max="8448" width="32.33203125" style="415" bestFit="1" customWidth="1"/>
    <col min="8449" max="8449" width="22.1640625" style="415" customWidth="1"/>
    <col min="8450" max="8450" width="14.33203125" style="415" customWidth="1"/>
    <col min="8451" max="8451" width="19" style="415" customWidth="1"/>
    <col min="8452" max="8452" width="8.83203125" style="415" customWidth="1"/>
    <col min="8453" max="8453" width="11.33203125" style="415" customWidth="1"/>
    <col min="8454" max="8454" width="8.83203125" style="415" customWidth="1"/>
    <col min="8455" max="8455" width="6.33203125" style="415" customWidth="1"/>
    <col min="8456" max="8456" width="14.33203125" style="415" customWidth="1"/>
    <col min="8457" max="8460" width="8.83203125" style="415" customWidth="1"/>
    <col min="8461" max="8461" width="17.83203125" style="415" customWidth="1"/>
    <col min="8462" max="8703" width="8.83203125" style="415" customWidth="1"/>
    <col min="8704" max="8704" width="32.33203125" style="415" bestFit="1" customWidth="1"/>
    <col min="8705" max="8705" width="22.1640625" style="415" customWidth="1"/>
    <col min="8706" max="8706" width="14.33203125" style="415" customWidth="1"/>
    <col min="8707" max="8707" width="19" style="415" customWidth="1"/>
    <col min="8708" max="8708" width="8.83203125" style="415" customWidth="1"/>
    <col min="8709" max="8709" width="11.33203125" style="415" customWidth="1"/>
    <col min="8710" max="8710" width="8.83203125" style="415" customWidth="1"/>
    <col min="8711" max="8711" width="6.33203125" style="415" customWidth="1"/>
    <col min="8712" max="8712" width="14.33203125" style="415" customWidth="1"/>
    <col min="8713" max="8716" width="8.83203125" style="415" customWidth="1"/>
    <col min="8717" max="8717" width="17.83203125" style="415" customWidth="1"/>
    <col min="8718" max="8959" width="8.83203125" style="415" customWidth="1"/>
    <col min="8960" max="8960" width="32.33203125" style="415" bestFit="1" customWidth="1"/>
    <col min="8961" max="8961" width="22.1640625" style="415" customWidth="1"/>
    <col min="8962" max="8962" width="14.33203125" style="415" customWidth="1"/>
    <col min="8963" max="8963" width="19" style="415" customWidth="1"/>
    <col min="8964" max="8964" width="8.83203125" style="415" customWidth="1"/>
    <col min="8965" max="8965" width="11.33203125" style="415" customWidth="1"/>
    <col min="8966" max="8966" width="8.83203125" style="415" customWidth="1"/>
    <col min="8967" max="8967" width="6.33203125" style="415" customWidth="1"/>
    <col min="8968" max="8968" width="14.33203125" style="415" customWidth="1"/>
    <col min="8969" max="8972" width="8.83203125" style="415" customWidth="1"/>
    <col min="8973" max="8973" width="17.83203125" style="415" customWidth="1"/>
    <col min="8974" max="9215" width="8.83203125" style="415" customWidth="1"/>
    <col min="9216" max="9216" width="32.33203125" style="415" bestFit="1" customWidth="1"/>
    <col min="9217" max="9217" width="22.1640625" style="415" customWidth="1"/>
    <col min="9218" max="9218" width="14.33203125" style="415" customWidth="1"/>
    <col min="9219" max="9219" width="19" style="415" customWidth="1"/>
    <col min="9220" max="9220" width="8.83203125" style="415" customWidth="1"/>
    <col min="9221" max="9221" width="11.33203125" style="415" customWidth="1"/>
    <col min="9222" max="9222" width="8.83203125" style="415" customWidth="1"/>
    <col min="9223" max="9223" width="6.33203125" style="415" customWidth="1"/>
    <col min="9224" max="9224" width="14.33203125" style="415" customWidth="1"/>
    <col min="9225" max="9228" width="8.83203125" style="415" customWidth="1"/>
    <col min="9229" max="9229" width="17.83203125" style="415" customWidth="1"/>
    <col min="9230" max="9471" width="8.83203125" style="415" customWidth="1"/>
    <col min="9472" max="9472" width="32.33203125" style="415" bestFit="1" customWidth="1"/>
    <col min="9473" max="9473" width="22.1640625" style="415" customWidth="1"/>
    <col min="9474" max="9474" width="14.33203125" style="415" customWidth="1"/>
    <col min="9475" max="9475" width="19" style="415" customWidth="1"/>
    <col min="9476" max="9476" width="8.83203125" style="415" customWidth="1"/>
    <col min="9477" max="9477" width="11.33203125" style="415" customWidth="1"/>
    <col min="9478" max="9478" width="8.83203125" style="415" customWidth="1"/>
    <col min="9479" max="9479" width="6.33203125" style="415" customWidth="1"/>
    <col min="9480" max="9480" width="14.33203125" style="415" customWidth="1"/>
    <col min="9481" max="9484" width="8.83203125" style="415" customWidth="1"/>
    <col min="9485" max="9485" width="17.83203125" style="415" customWidth="1"/>
    <col min="9486" max="9727" width="8.83203125" style="415" customWidth="1"/>
    <col min="9728" max="9728" width="32.33203125" style="415" bestFit="1" customWidth="1"/>
    <col min="9729" max="9729" width="22.1640625" style="415" customWidth="1"/>
    <col min="9730" max="9730" width="14.33203125" style="415" customWidth="1"/>
    <col min="9731" max="9731" width="19" style="415" customWidth="1"/>
    <col min="9732" max="9732" width="8.83203125" style="415" customWidth="1"/>
    <col min="9733" max="9733" width="11.33203125" style="415" customWidth="1"/>
    <col min="9734" max="9734" width="8.83203125" style="415" customWidth="1"/>
    <col min="9735" max="9735" width="6.33203125" style="415" customWidth="1"/>
    <col min="9736" max="9736" width="14.33203125" style="415" customWidth="1"/>
    <col min="9737" max="9740" width="8.83203125" style="415" customWidth="1"/>
    <col min="9741" max="9741" width="17.83203125" style="415" customWidth="1"/>
    <col min="9742" max="9983" width="8.83203125" style="415" customWidth="1"/>
    <col min="9984" max="9984" width="32.33203125" style="415" bestFit="1" customWidth="1"/>
    <col min="9985" max="9985" width="22.1640625" style="415" customWidth="1"/>
    <col min="9986" max="9986" width="14.33203125" style="415" customWidth="1"/>
    <col min="9987" max="9987" width="19" style="415" customWidth="1"/>
    <col min="9988" max="9988" width="8.83203125" style="415" customWidth="1"/>
    <col min="9989" max="9989" width="11.33203125" style="415" customWidth="1"/>
    <col min="9990" max="9990" width="8.83203125" style="415" customWidth="1"/>
    <col min="9991" max="9991" width="6.33203125" style="415" customWidth="1"/>
    <col min="9992" max="9992" width="14.33203125" style="415" customWidth="1"/>
    <col min="9993" max="9996" width="8.83203125" style="415" customWidth="1"/>
    <col min="9997" max="9997" width="17.83203125" style="415" customWidth="1"/>
    <col min="9998" max="10239" width="8.83203125" style="415" customWidth="1"/>
    <col min="10240" max="10240" width="32.33203125" style="415" bestFit="1" customWidth="1"/>
    <col min="10241" max="10241" width="22.1640625" style="415" customWidth="1"/>
    <col min="10242" max="10242" width="14.33203125" style="415" customWidth="1"/>
    <col min="10243" max="10243" width="19" style="415" customWidth="1"/>
    <col min="10244" max="10244" width="8.83203125" style="415" customWidth="1"/>
    <col min="10245" max="10245" width="11.33203125" style="415" customWidth="1"/>
    <col min="10246" max="10246" width="8.83203125" style="415" customWidth="1"/>
    <col min="10247" max="10247" width="6.33203125" style="415" customWidth="1"/>
    <col min="10248" max="10248" width="14.33203125" style="415" customWidth="1"/>
    <col min="10249" max="10252" width="8.83203125" style="415" customWidth="1"/>
    <col min="10253" max="10253" width="17.83203125" style="415" customWidth="1"/>
    <col min="10254" max="10495" width="8.83203125" style="415" customWidth="1"/>
    <col min="10496" max="10496" width="32.33203125" style="415" bestFit="1" customWidth="1"/>
    <col min="10497" max="10497" width="22.1640625" style="415" customWidth="1"/>
    <col min="10498" max="10498" width="14.33203125" style="415" customWidth="1"/>
    <col min="10499" max="10499" width="19" style="415" customWidth="1"/>
    <col min="10500" max="10500" width="8.83203125" style="415" customWidth="1"/>
    <col min="10501" max="10501" width="11.33203125" style="415" customWidth="1"/>
    <col min="10502" max="10502" width="8.83203125" style="415" customWidth="1"/>
    <col min="10503" max="10503" width="6.33203125" style="415" customWidth="1"/>
    <col min="10504" max="10504" width="14.33203125" style="415" customWidth="1"/>
    <col min="10505" max="10508" width="8.83203125" style="415" customWidth="1"/>
    <col min="10509" max="10509" width="17.83203125" style="415" customWidth="1"/>
    <col min="10510" max="10751" width="8.83203125" style="415" customWidth="1"/>
    <col min="10752" max="10752" width="32.33203125" style="415" bestFit="1" customWidth="1"/>
    <col min="10753" max="10753" width="22.1640625" style="415" customWidth="1"/>
    <col min="10754" max="10754" width="14.33203125" style="415" customWidth="1"/>
    <col min="10755" max="10755" width="19" style="415" customWidth="1"/>
    <col min="10756" max="10756" width="8.83203125" style="415" customWidth="1"/>
    <col min="10757" max="10757" width="11.33203125" style="415" customWidth="1"/>
    <col min="10758" max="10758" width="8.83203125" style="415" customWidth="1"/>
    <col min="10759" max="10759" width="6.33203125" style="415" customWidth="1"/>
    <col min="10760" max="10760" width="14.33203125" style="415" customWidth="1"/>
    <col min="10761" max="10764" width="8.83203125" style="415" customWidth="1"/>
    <col min="10765" max="10765" width="17.83203125" style="415" customWidth="1"/>
    <col min="10766" max="11007" width="8.83203125" style="415" customWidth="1"/>
    <col min="11008" max="11008" width="32.33203125" style="415" bestFit="1" customWidth="1"/>
    <col min="11009" max="11009" width="22.1640625" style="415" customWidth="1"/>
    <col min="11010" max="11010" width="14.33203125" style="415" customWidth="1"/>
    <col min="11011" max="11011" width="19" style="415" customWidth="1"/>
    <col min="11012" max="11012" width="8.83203125" style="415" customWidth="1"/>
    <col min="11013" max="11013" width="11.33203125" style="415" customWidth="1"/>
    <col min="11014" max="11014" width="8.83203125" style="415" customWidth="1"/>
    <col min="11015" max="11015" width="6.33203125" style="415" customWidth="1"/>
    <col min="11016" max="11016" width="14.33203125" style="415" customWidth="1"/>
    <col min="11017" max="11020" width="8.83203125" style="415" customWidth="1"/>
    <col min="11021" max="11021" width="17.83203125" style="415" customWidth="1"/>
    <col min="11022" max="11263" width="8.83203125" style="415" customWidth="1"/>
    <col min="11264" max="11264" width="32.33203125" style="415" bestFit="1" customWidth="1"/>
    <col min="11265" max="11265" width="22.1640625" style="415" customWidth="1"/>
    <col min="11266" max="11266" width="14.33203125" style="415" customWidth="1"/>
    <col min="11267" max="11267" width="19" style="415" customWidth="1"/>
    <col min="11268" max="11268" width="8.83203125" style="415" customWidth="1"/>
    <col min="11269" max="11269" width="11.33203125" style="415" customWidth="1"/>
    <col min="11270" max="11270" width="8.83203125" style="415" customWidth="1"/>
    <col min="11271" max="11271" width="6.33203125" style="415" customWidth="1"/>
    <col min="11272" max="11272" width="14.33203125" style="415" customWidth="1"/>
    <col min="11273" max="11276" width="8.83203125" style="415" customWidth="1"/>
    <col min="11277" max="11277" width="17.83203125" style="415" customWidth="1"/>
    <col min="11278" max="11519" width="8.83203125" style="415" customWidth="1"/>
    <col min="11520" max="11520" width="32.33203125" style="415" bestFit="1" customWidth="1"/>
    <col min="11521" max="11521" width="22.1640625" style="415" customWidth="1"/>
    <col min="11522" max="11522" width="14.33203125" style="415" customWidth="1"/>
    <col min="11523" max="11523" width="19" style="415" customWidth="1"/>
    <col min="11524" max="11524" width="8.83203125" style="415" customWidth="1"/>
    <col min="11525" max="11525" width="11.33203125" style="415" customWidth="1"/>
    <col min="11526" max="11526" width="8.83203125" style="415" customWidth="1"/>
    <col min="11527" max="11527" width="6.33203125" style="415" customWidth="1"/>
    <col min="11528" max="11528" width="14.33203125" style="415" customWidth="1"/>
    <col min="11529" max="11532" width="8.83203125" style="415" customWidth="1"/>
    <col min="11533" max="11533" width="17.83203125" style="415" customWidth="1"/>
    <col min="11534" max="11775" width="8.83203125" style="415" customWidth="1"/>
    <col min="11776" max="11776" width="32.33203125" style="415" bestFit="1" customWidth="1"/>
    <col min="11777" max="11777" width="22.1640625" style="415" customWidth="1"/>
    <col min="11778" max="11778" width="14.33203125" style="415" customWidth="1"/>
    <col min="11779" max="11779" width="19" style="415" customWidth="1"/>
    <col min="11780" max="11780" width="8.83203125" style="415" customWidth="1"/>
    <col min="11781" max="11781" width="11.33203125" style="415" customWidth="1"/>
    <col min="11782" max="11782" width="8.83203125" style="415" customWidth="1"/>
    <col min="11783" max="11783" width="6.33203125" style="415" customWidth="1"/>
    <col min="11784" max="11784" width="14.33203125" style="415" customWidth="1"/>
    <col min="11785" max="11788" width="8.83203125" style="415" customWidth="1"/>
    <col min="11789" max="11789" width="17.83203125" style="415" customWidth="1"/>
    <col min="11790" max="12031" width="8.83203125" style="415" customWidth="1"/>
    <col min="12032" max="12032" width="32.33203125" style="415" bestFit="1" customWidth="1"/>
    <col min="12033" max="12033" width="22.1640625" style="415" customWidth="1"/>
    <col min="12034" max="12034" width="14.33203125" style="415" customWidth="1"/>
    <col min="12035" max="12035" width="19" style="415" customWidth="1"/>
    <col min="12036" max="12036" width="8.83203125" style="415" customWidth="1"/>
    <col min="12037" max="12037" width="11.33203125" style="415" customWidth="1"/>
    <col min="12038" max="12038" width="8.83203125" style="415" customWidth="1"/>
    <col min="12039" max="12039" width="6.33203125" style="415" customWidth="1"/>
    <col min="12040" max="12040" width="14.33203125" style="415" customWidth="1"/>
    <col min="12041" max="12044" width="8.83203125" style="415" customWidth="1"/>
    <col min="12045" max="12045" width="17.83203125" style="415" customWidth="1"/>
    <col min="12046" max="12287" width="8.83203125" style="415" customWidth="1"/>
    <col min="12288" max="12288" width="32.33203125" style="415" bestFit="1" customWidth="1"/>
    <col min="12289" max="12289" width="22.1640625" style="415" customWidth="1"/>
    <col min="12290" max="12290" width="14.33203125" style="415" customWidth="1"/>
    <col min="12291" max="12291" width="19" style="415" customWidth="1"/>
    <col min="12292" max="12292" width="8.83203125" style="415" customWidth="1"/>
    <col min="12293" max="12293" width="11.33203125" style="415" customWidth="1"/>
    <col min="12294" max="12294" width="8.83203125" style="415" customWidth="1"/>
    <col min="12295" max="12295" width="6.33203125" style="415" customWidth="1"/>
    <col min="12296" max="12296" width="14.33203125" style="415" customWidth="1"/>
    <col min="12297" max="12300" width="8.83203125" style="415" customWidth="1"/>
    <col min="12301" max="12301" width="17.83203125" style="415" customWidth="1"/>
    <col min="12302" max="12543" width="8.83203125" style="415" customWidth="1"/>
    <col min="12544" max="12544" width="32.33203125" style="415" bestFit="1" customWidth="1"/>
    <col min="12545" max="12545" width="22.1640625" style="415" customWidth="1"/>
    <col min="12546" max="12546" width="14.33203125" style="415" customWidth="1"/>
    <col min="12547" max="12547" width="19" style="415" customWidth="1"/>
    <col min="12548" max="12548" width="8.83203125" style="415" customWidth="1"/>
    <col min="12549" max="12549" width="11.33203125" style="415" customWidth="1"/>
    <col min="12550" max="12550" width="8.83203125" style="415" customWidth="1"/>
    <col min="12551" max="12551" width="6.33203125" style="415" customWidth="1"/>
    <col min="12552" max="12552" width="14.33203125" style="415" customWidth="1"/>
    <col min="12553" max="12556" width="8.83203125" style="415" customWidth="1"/>
    <col min="12557" max="12557" width="17.83203125" style="415" customWidth="1"/>
    <col min="12558" max="12799" width="8.83203125" style="415" customWidth="1"/>
    <col min="12800" max="12800" width="32.33203125" style="415" bestFit="1" customWidth="1"/>
    <col min="12801" max="12801" width="22.1640625" style="415" customWidth="1"/>
    <col min="12802" max="12802" width="14.33203125" style="415" customWidth="1"/>
    <col min="12803" max="12803" width="19" style="415" customWidth="1"/>
    <col min="12804" max="12804" width="8.83203125" style="415" customWidth="1"/>
    <col min="12805" max="12805" width="11.33203125" style="415" customWidth="1"/>
    <col min="12806" max="12806" width="8.83203125" style="415" customWidth="1"/>
    <col min="12807" max="12807" width="6.33203125" style="415" customWidth="1"/>
    <col min="12808" max="12808" width="14.33203125" style="415" customWidth="1"/>
    <col min="12809" max="12812" width="8.83203125" style="415" customWidth="1"/>
    <col min="12813" max="12813" width="17.83203125" style="415" customWidth="1"/>
    <col min="12814" max="13055" width="8.83203125" style="415" customWidth="1"/>
    <col min="13056" max="13056" width="32.33203125" style="415" bestFit="1" customWidth="1"/>
    <col min="13057" max="13057" width="22.1640625" style="415" customWidth="1"/>
    <col min="13058" max="13058" width="14.33203125" style="415" customWidth="1"/>
    <col min="13059" max="13059" width="19" style="415" customWidth="1"/>
    <col min="13060" max="13060" width="8.83203125" style="415" customWidth="1"/>
    <col min="13061" max="13061" width="11.33203125" style="415" customWidth="1"/>
    <col min="13062" max="13062" width="8.83203125" style="415" customWidth="1"/>
    <col min="13063" max="13063" width="6.33203125" style="415" customWidth="1"/>
    <col min="13064" max="13064" width="14.33203125" style="415" customWidth="1"/>
    <col min="13065" max="13068" width="8.83203125" style="415" customWidth="1"/>
    <col min="13069" max="13069" width="17.83203125" style="415" customWidth="1"/>
    <col min="13070" max="13311" width="8.83203125" style="415" customWidth="1"/>
    <col min="13312" max="13312" width="32.33203125" style="415" bestFit="1" customWidth="1"/>
    <col min="13313" max="13313" width="22.1640625" style="415" customWidth="1"/>
    <col min="13314" max="13314" width="14.33203125" style="415" customWidth="1"/>
    <col min="13315" max="13315" width="19" style="415" customWidth="1"/>
    <col min="13316" max="13316" width="8.83203125" style="415" customWidth="1"/>
    <col min="13317" max="13317" width="11.33203125" style="415" customWidth="1"/>
    <col min="13318" max="13318" width="8.83203125" style="415" customWidth="1"/>
    <col min="13319" max="13319" width="6.33203125" style="415" customWidth="1"/>
    <col min="13320" max="13320" width="14.33203125" style="415" customWidth="1"/>
    <col min="13321" max="13324" width="8.83203125" style="415" customWidth="1"/>
    <col min="13325" max="13325" width="17.83203125" style="415" customWidth="1"/>
    <col min="13326" max="13567" width="8.83203125" style="415" customWidth="1"/>
    <col min="13568" max="13568" width="32.33203125" style="415" bestFit="1" customWidth="1"/>
    <col min="13569" max="13569" width="22.1640625" style="415" customWidth="1"/>
    <col min="13570" max="13570" width="14.33203125" style="415" customWidth="1"/>
    <col min="13571" max="13571" width="19" style="415" customWidth="1"/>
    <col min="13572" max="13572" width="8.83203125" style="415" customWidth="1"/>
    <col min="13573" max="13573" width="11.33203125" style="415" customWidth="1"/>
    <col min="13574" max="13574" width="8.83203125" style="415" customWidth="1"/>
    <col min="13575" max="13575" width="6.33203125" style="415" customWidth="1"/>
    <col min="13576" max="13576" width="14.33203125" style="415" customWidth="1"/>
    <col min="13577" max="13580" width="8.83203125" style="415" customWidth="1"/>
    <col min="13581" max="13581" width="17.83203125" style="415" customWidth="1"/>
    <col min="13582" max="13823" width="8.83203125" style="415" customWidth="1"/>
    <col min="13824" max="13824" width="32.33203125" style="415" bestFit="1" customWidth="1"/>
    <col min="13825" max="13825" width="22.1640625" style="415" customWidth="1"/>
    <col min="13826" max="13826" width="14.33203125" style="415" customWidth="1"/>
    <col min="13827" max="13827" width="19" style="415" customWidth="1"/>
    <col min="13828" max="13828" width="8.83203125" style="415" customWidth="1"/>
    <col min="13829" max="13829" width="11.33203125" style="415" customWidth="1"/>
    <col min="13830" max="13830" width="8.83203125" style="415" customWidth="1"/>
    <col min="13831" max="13831" width="6.33203125" style="415" customWidth="1"/>
    <col min="13832" max="13832" width="14.33203125" style="415" customWidth="1"/>
    <col min="13833" max="13836" width="8.83203125" style="415" customWidth="1"/>
    <col min="13837" max="13837" width="17.83203125" style="415" customWidth="1"/>
    <col min="13838" max="14079" width="8.83203125" style="415" customWidth="1"/>
    <col min="14080" max="14080" width="32.33203125" style="415" bestFit="1" customWidth="1"/>
    <col min="14081" max="14081" width="22.1640625" style="415" customWidth="1"/>
    <col min="14082" max="14082" width="14.33203125" style="415" customWidth="1"/>
    <col min="14083" max="14083" width="19" style="415" customWidth="1"/>
    <col min="14084" max="14084" width="8.83203125" style="415" customWidth="1"/>
    <col min="14085" max="14085" width="11.33203125" style="415" customWidth="1"/>
    <col min="14086" max="14086" width="8.83203125" style="415" customWidth="1"/>
    <col min="14087" max="14087" width="6.33203125" style="415" customWidth="1"/>
    <col min="14088" max="14088" width="14.33203125" style="415" customWidth="1"/>
    <col min="14089" max="14092" width="8.83203125" style="415" customWidth="1"/>
    <col min="14093" max="14093" width="17.83203125" style="415" customWidth="1"/>
    <col min="14094" max="14335" width="8.83203125" style="415" customWidth="1"/>
    <col min="14336" max="14336" width="32.33203125" style="415" bestFit="1" customWidth="1"/>
    <col min="14337" max="14337" width="22.1640625" style="415" customWidth="1"/>
    <col min="14338" max="14338" width="14.33203125" style="415" customWidth="1"/>
    <col min="14339" max="14339" width="19" style="415" customWidth="1"/>
    <col min="14340" max="14340" width="8.83203125" style="415" customWidth="1"/>
    <col min="14341" max="14341" width="11.33203125" style="415" customWidth="1"/>
    <col min="14342" max="14342" width="8.83203125" style="415" customWidth="1"/>
    <col min="14343" max="14343" width="6.33203125" style="415" customWidth="1"/>
    <col min="14344" max="14344" width="14.33203125" style="415" customWidth="1"/>
    <col min="14345" max="14348" width="8.83203125" style="415" customWidth="1"/>
    <col min="14349" max="14349" width="17.83203125" style="415" customWidth="1"/>
    <col min="14350" max="14591" width="8.83203125" style="415" customWidth="1"/>
    <col min="14592" max="14592" width="32.33203125" style="415" bestFit="1" customWidth="1"/>
    <col min="14593" max="14593" width="22.1640625" style="415" customWidth="1"/>
    <col min="14594" max="14594" width="14.33203125" style="415" customWidth="1"/>
    <col min="14595" max="14595" width="19" style="415" customWidth="1"/>
    <col min="14596" max="14596" width="8.83203125" style="415" customWidth="1"/>
    <col min="14597" max="14597" width="11.33203125" style="415" customWidth="1"/>
    <col min="14598" max="14598" width="8.83203125" style="415" customWidth="1"/>
    <col min="14599" max="14599" width="6.33203125" style="415" customWidth="1"/>
    <col min="14600" max="14600" width="14.33203125" style="415" customWidth="1"/>
    <col min="14601" max="14604" width="8.83203125" style="415" customWidth="1"/>
    <col min="14605" max="14605" width="17.83203125" style="415" customWidth="1"/>
    <col min="14606" max="14847" width="8.83203125" style="415" customWidth="1"/>
    <col min="14848" max="14848" width="32.33203125" style="415" bestFit="1" customWidth="1"/>
    <col min="14849" max="14849" width="22.1640625" style="415" customWidth="1"/>
    <col min="14850" max="14850" width="14.33203125" style="415" customWidth="1"/>
    <col min="14851" max="14851" width="19" style="415" customWidth="1"/>
    <col min="14852" max="14852" width="8.83203125" style="415" customWidth="1"/>
    <col min="14853" max="14853" width="11.33203125" style="415" customWidth="1"/>
    <col min="14854" max="14854" width="8.83203125" style="415" customWidth="1"/>
    <col min="14855" max="14855" width="6.33203125" style="415" customWidth="1"/>
    <col min="14856" max="14856" width="14.33203125" style="415" customWidth="1"/>
    <col min="14857" max="14860" width="8.83203125" style="415" customWidth="1"/>
    <col min="14861" max="14861" width="17.83203125" style="415" customWidth="1"/>
    <col min="14862" max="15103" width="8.83203125" style="415" customWidth="1"/>
    <col min="15104" max="15104" width="32.33203125" style="415" bestFit="1" customWidth="1"/>
    <col min="15105" max="15105" width="22.1640625" style="415" customWidth="1"/>
    <col min="15106" max="15106" width="14.33203125" style="415" customWidth="1"/>
    <col min="15107" max="15107" width="19" style="415" customWidth="1"/>
    <col min="15108" max="15108" width="8.83203125" style="415" customWidth="1"/>
    <col min="15109" max="15109" width="11.33203125" style="415" customWidth="1"/>
    <col min="15110" max="15110" width="8.83203125" style="415" customWidth="1"/>
    <col min="15111" max="15111" width="6.33203125" style="415" customWidth="1"/>
    <col min="15112" max="15112" width="14.33203125" style="415" customWidth="1"/>
    <col min="15113" max="15116" width="8.83203125" style="415" customWidth="1"/>
    <col min="15117" max="15117" width="17.83203125" style="415" customWidth="1"/>
    <col min="15118" max="15359" width="8.83203125" style="415" customWidth="1"/>
    <col min="15360" max="15360" width="32.33203125" style="415" bestFit="1" customWidth="1"/>
    <col min="15361" max="15361" width="22.1640625" style="415" customWidth="1"/>
    <col min="15362" max="15362" width="14.33203125" style="415" customWidth="1"/>
    <col min="15363" max="15363" width="19" style="415" customWidth="1"/>
    <col min="15364" max="15364" width="8.83203125" style="415" customWidth="1"/>
    <col min="15365" max="15365" width="11.33203125" style="415" customWidth="1"/>
    <col min="15366" max="15366" width="8.83203125" style="415" customWidth="1"/>
    <col min="15367" max="15367" width="6.33203125" style="415" customWidth="1"/>
    <col min="15368" max="15368" width="14.33203125" style="415" customWidth="1"/>
    <col min="15369" max="15372" width="8.83203125" style="415" customWidth="1"/>
    <col min="15373" max="15373" width="17.83203125" style="415" customWidth="1"/>
    <col min="15374" max="15615" width="8.83203125" style="415" customWidth="1"/>
    <col min="15616" max="15616" width="32.33203125" style="415" bestFit="1" customWidth="1"/>
    <col min="15617" max="15617" width="22.1640625" style="415" customWidth="1"/>
    <col min="15618" max="15618" width="14.33203125" style="415" customWidth="1"/>
    <col min="15619" max="15619" width="19" style="415" customWidth="1"/>
    <col min="15620" max="15620" width="8.83203125" style="415" customWidth="1"/>
    <col min="15621" max="15621" width="11.33203125" style="415" customWidth="1"/>
    <col min="15622" max="15622" width="8.83203125" style="415" customWidth="1"/>
    <col min="15623" max="15623" width="6.33203125" style="415" customWidth="1"/>
    <col min="15624" max="15624" width="14.33203125" style="415" customWidth="1"/>
    <col min="15625" max="15628" width="8.83203125" style="415" customWidth="1"/>
    <col min="15629" max="15629" width="17.83203125" style="415" customWidth="1"/>
    <col min="15630" max="15871" width="8.83203125" style="415" customWidth="1"/>
    <col min="15872" max="15872" width="32.33203125" style="415" bestFit="1" customWidth="1"/>
    <col min="15873" max="15873" width="22.1640625" style="415" customWidth="1"/>
    <col min="15874" max="15874" width="14.33203125" style="415" customWidth="1"/>
    <col min="15875" max="15875" width="19" style="415" customWidth="1"/>
    <col min="15876" max="15876" width="8.83203125" style="415" customWidth="1"/>
    <col min="15877" max="15877" width="11.33203125" style="415" customWidth="1"/>
    <col min="15878" max="15878" width="8.83203125" style="415" customWidth="1"/>
    <col min="15879" max="15879" width="6.33203125" style="415" customWidth="1"/>
    <col min="15880" max="15880" width="14.33203125" style="415" customWidth="1"/>
    <col min="15881" max="15884" width="8.83203125" style="415" customWidth="1"/>
    <col min="15885" max="15885" width="17.83203125" style="415" customWidth="1"/>
    <col min="15886" max="16127" width="8.83203125" style="415" customWidth="1"/>
    <col min="16128" max="16128" width="32.33203125" style="415" bestFit="1" customWidth="1"/>
    <col min="16129" max="16129" width="22.1640625" style="415" customWidth="1"/>
    <col min="16130" max="16130" width="14.33203125" style="415" customWidth="1"/>
    <col min="16131" max="16131" width="19" style="415" customWidth="1"/>
    <col min="16132" max="16132" width="8.83203125" style="415" customWidth="1"/>
    <col min="16133" max="16133" width="11.33203125" style="415" customWidth="1"/>
    <col min="16134" max="16134" width="8.83203125" style="415" customWidth="1"/>
    <col min="16135" max="16135" width="6.33203125" style="415" customWidth="1"/>
    <col min="16136" max="16136" width="14.33203125" style="415" customWidth="1"/>
    <col min="16137" max="16140" width="8.83203125" style="415" customWidth="1"/>
    <col min="16141" max="16141" width="17.83203125" style="415" customWidth="1"/>
    <col min="16142" max="16384" width="8.83203125" style="415" customWidth="1"/>
  </cols>
  <sheetData>
    <row r="1" spans="1:14" x14ac:dyDescent="0.2">
      <c r="A1" s="414" t="s">
        <v>0</v>
      </c>
      <c r="B1" s="951" t="str">
        <f>'Cover Page'!D1</f>
        <v>Eduprize Schools LLC</v>
      </c>
      <c r="C1" s="951"/>
      <c r="E1" s="414" t="s">
        <v>1</v>
      </c>
      <c r="F1" s="586" t="str">
        <f>'Cover Page'!M1</f>
        <v>Pinal</v>
      </c>
      <c r="G1" s="416"/>
      <c r="H1" s="414" t="s">
        <v>2</v>
      </c>
      <c r="I1" s="543" t="str">
        <f>'Cover Page'!R1</f>
        <v>078687000</v>
      </c>
      <c r="J1" s="586"/>
      <c r="K1" s="586"/>
    </row>
    <row r="3" spans="1:14" x14ac:dyDescent="0.2">
      <c r="A3" s="659" t="s">
        <v>724</v>
      </c>
    </row>
    <row r="4" spans="1:14" x14ac:dyDescent="0.2">
      <c r="H4" s="417" t="s">
        <v>474</v>
      </c>
      <c r="I4" s="680" t="s">
        <v>1328</v>
      </c>
      <c r="J4" s="680" t="s">
        <v>1329</v>
      </c>
    </row>
    <row r="5" spans="1:14" x14ac:dyDescent="0.2">
      <c r="H5" s="7" t="s">
        <v>475</v>
      </c>
      <c r="I5" s="519">
        <v>3000.3928000000001</v>
      </c>
      <c r="J5" s="519">
        <v>2894.0972000000002</v>
      </c>
    </row>
    <row r="6" spans="1:14" x14ac:dyDescent="0.2">
      <c r="A6" s="418"/>
      <c r="B6" s="419" t="s">
        <v>476</v>
      </c>
    </row>
    <row r="8" spans="1:14" ht="15" customHeight="1" x14ac:dyDescent="0.2">
      <c r="A8" s="420"/>
      <c r="B8" s="421"/>
      <c r="C8" s="422" t="s">
        <v>477</v>
      </c>
      <c r="D8" s="952" t="s">
        <v>478</v>
      </c>
      <c r="E8" s="423"/>
      <c r="F8" s="424"/>
      <c r="G8" s="948" t="s">
        <v>479</v>
      </c>
      <c r="H8" s="950" t="s">
        <v>480</v>
      </c>
      <c r="I8" s="424"/>
      <c r="J8" s="424"/>
      <c r="K8" s="425"/>
    </row>
    <row r="9" spans="1:14" x14ac:dyDescent="0.2">
      <c r="A9" s="426"/>
      <c r="B9" s="427" t="s">
        <v>184</v>
      </c>
      <c r="C9" s="428" t="s">
        <v>184</v>
      </c>
      <c r="D9" s="953"/>
      <c r="E9" s="429"/>
      <c r="F9" s="430"/>
      <c r="G9" s="949"/>
      <c r="H9" s="949"/>
      <c r="I9" s="430" t="s">
        <v>311</v>
      </c>
      <c r="J9" s="430" t="s">
        <v>481</v>
      </c>
      <c r="K9" s="431" t="s">
        <v>187</v>
      </c>
    </row>
    <row r="10" spans="1:14" x14ac:dyDescent="0.2">
      <c r="A10" s="432" t="s">
        <v>482</v>
      </c>
      <c r="B10" s="433" t="s">
        <v>483</v>
      </c>
      <c r="C10" s="434" t="s">
        <v>483</v>
      </c>
      <c r="D10" s="954"/>
      <c r="E10" s="435" t="s">
        <v>484</v>
      </c>
      <c r="F10" s="436" t="s">
        <v>313</v>
      </c>
      <c r="G10" s="949"/>
      <c r="H10" s="949"/>
      <c r="I10" s="436" t="s">
        <v>315</v>
      </c>
      <c r="J10" s="436" t="s">
        <v>485</v>
      </c>
      <c r="K10" s="437" t="s">
        <v>483</v>
      </c>
      <c r="M10" s="414" t="s">
        <v>486</v>
      </c>
    </row>
    <row r="11" spans="1:14" x14ac:dyDescent="0.2">
      <c r="A11" s="438" t="s">
        <v>487</v>
      </c>
      <c r="B11" s="439"/>
      <c r="C11" s="440"/>
      <c r="D11" s="440"/>
      <c r="E11" s="441"/>
      <c r="F11" s="442"/>
      <c r="G11" s="443">
        <f>'Page 2'!I23</f>
        <v>23347700</v>
      </c>
      <c r="H11" s="444">
        <f>'Page 2'!J23</f>
        <v>25576873</v>
      </c>
      <c r="I11" s="445"/>
      <c r="J11" s="442"/>
      <c r="K11" s="439"/>
      <c r="M11" s="414" t="s">
        <v>1144</v>
      </c>
    </row>
    <row r="12" spans="1:14" x14ac:dyDescent="0.2">
      <c r="A12" s="438" t="s">
        <v>488</v>
      </c>
      <c r="B12" s="439"/>
      <c r="C12" s="439"/>
      <c r="D12" s="439"/>
      <c r="E12" s="446"/>
      <c r="F12" s="442"/>
      <c r="G12" s="443">
        <f>'Page 2'!I37</f>
        <v>2993000</v>
      </c>
      <c r="H12" s="447">
        <f>'Page 2'!J37</f>
        <v>3573876</v>
      </c>
      <c r="I12" s="445"/>
      <c r="J12" s="442"/>
      <c r="K12" s="439"/>
      <c r="M12" s="448">
        <v>-1</v>
      </c>
      <c r="N12" s="415" t="str">
        <f>"The Charter "&amp;IF('Reserve balance'!F26="Yes","has","does not have")&amp;" an adopted policy establishing a reserve balance for FY 2025."</f>
        <v>The Charter does not have an adopted policy establishing a reserve balance for FY 2025.</v>
      </c>
    </row>
    <row r="13" spans="1:14" x14ac:dyDescent="0.2">
      <c r="A13" s="438" t="s">
        <v>489</v>
      </c>
      <c r="B13" s="439"/>
      <c r="C13" s="439"/>
      <c r="D13" s="439"/>
      <c r="E13" s="446"/>
      <c r="F13" s="442"/>
      <c r="G13" s="449">
        <f>'Page 2'!I38</f>
        <v>0</v>
      </c>
      <c r="H13" s="447">
        <f>'Page 2'!J38</f>
        <v>2024</v>
      </c>
      <c r="I13" s="445"/>
      <c r="J13" s="442"/>
      <c r="K13" s="439"/>
    </row>
    <row r="14" spans="1:14" x14ac:dyDescent="0.2">
      <c r="A14" s="438" t="s">
        <v>490</v>
      </c>
      <c r="B14" s="439"/>
      <c r="C14" s="439"/>
      <c r="D14" s="439"/>
      <c r="E14" s="446"/>
      <c r="F14" s="442"/>
      <c r="G14" s="449">
        <f>'Page 2'!I39</f>
        <v>0</v>
      </c>
      <c r="H14" s="447">
        <f>'Page 2'!J39</f>
        <v>0</v>
      </c>
      <c r="I14" s="445"/>
      <c r="J14" s="442"/>
      <c r="K14" s="439"/>
      <c r="M14" s="448">
        <v>-2</v>
      </c>
      <c r="N14" s="683" t="s">
        <v>1330</v>
      </c>
    </row>
    <row r="15" spans="1:14" x14ac:dyDescent="0.2">
      <c r="A15" s="450" t="s">
        <v>491</v>
      </c>
      <c r="B15" s="451"/>
      <c r="C15" s="451"/>
      <c r="D15" s="451"/>
      <c r="E15" s="452"/>
      <c r="F15" s="442"/>
      <c r="G15" s="453">
        <f>'Page 2'!I40</f>
        <v>0</v>
      </c>
      <c r="H15" s="454">
        <f>'Page 2'!J40</f>
        <v>0</v>
      </c>
      <c r="I15" s="445"/>
      <c r="J15" s="442"/>
      <c r="K15" s="439"/>
      <c r="N15" s="455">
        <f>'Reserve balance'!D39</f>
        <v>0</v>
      </c>
    </row>
    <row r="16" spans="1:14" x14ac:dyDescent="0.2">
      <c r="A16" s="456" t="s">
        <v>492</v>
      </c>
      <c r="B16" s="451"/>
      <c r="C16" s="439"/>
      <c r="D16" s="439"/>
      <c r="E16" s="446"/>
      <c r="F16" s="457"/>
      <c r="G16" s="458">
        <f>'Page 2'!I41</f>
        <v>259025</v>
      </c>
      <c r="H16" s="459">
        <f>'Page 2'!J41</f>
        <v>238788</v>
      </c>
      <c r="I16" s="457"/>
      <c r="J16" s="442"/>
      <c r="K16" s="460"/>
    </row>
    <row r="17" spans="1:11" x14ac:dyDescent="0.2">
      <c r="A17" s="461" t="s">
        <v>493</v>
      </c>
      <c r="B17" s="605">
        <f>[2]Summary!$K$17</f>
        <v>1846482</v>
      </c>
      <c r="C17" s="467">
        <v>1846482</v>
      </c>
      <c r="D17" s="462">
        <f>'Page 1'!H43-SUM(D18:D23)</f>
        <v>27967981</v>
      </c>
      <c r="E17" s="446"/>
      <c r="F17" s="467">
        <v>0</v>
      </c>
      <c r="G17" s="517">
        <v>26599725</v>
      </c>
      <c r="H17" s="518">
        <f>29814463+6429488</f>
        <v>36243951</v>
      </c>
      <c r="I17" s="467">
        <v>0</v>
      </c>
      <c r="J17" s="467">
        <v>0</v>
      </c>
      <c r="K17" s="463">
        <f>IF(C17="",B17,C17)+D17-E17-F17-I17-H17-J17</f>
        <v>-6429488</v>
      </c>
    </row>
    <row r="18" spans="1:11" x14ac:dyDescent="0.2">
      <c r="A18" s="461" t="s">
        <v>494</v>
      </c>
      <c r="B18" s="462">
        <f>IF('Page 3'!F25="",'Page 3'!F24,'Page 3'!F25)</f>
        <v>2</v>
      </c>
      <c r="C18" s="439"/>
      <c r="D18" s="463">
        <f>'Page 3'!F28</f>
        <v>2714030</v>
      </c>
      <c r="E18" s="446"/>
      <c r="F18" s="467">
        <v>0</v>
      </c>
      <c r="G18" s="464">
        <f>'Page 3'!J13+'Page 3'!F18</f>
        <v>2700000</v>
      </c>
      <c r="H18" s="601">
        <f>'Page 3'!G18+'Page 3'!K13</f>
        <v>2714030</v>
      </c>
      <c r="I18" s="462">
        <f>'Page 3'!G17</f>
        <v>0</v>
      </c>
      <c r="J18" s="462">
        <f>'Page 3'!G19</f>
        <v>0</v>
      </c>
      <c r="K18" s="463">
        <f t="shared" ref="K18:K23" si="0">B18+D18-E18-F18-I18-H18-J18</f>
        <v>2</v>
      </c>
    </row>
    <row r="19" spans="1:11" x14ac:dyDescent="0.2">
      <c r="A19" s="461" t="s">
        <v>495</v>
      </c>
      <c r="B19" s="462">
        <f>IF('Page 4'!F16="",'Page 4'!F15,'Page 4'!F16)</f>
        <v>68827</v>
      </c>
      <c r="C19" s="439"/>
      <c r="D19" s="463">
        <f>'Page 4'!F17</f>
        <v>221992</v>
      </c>
      <c r="E19" s="446"/>
      <c r="F19" s="467">
        <v>0</v>
      </c>
      <c r="G19" s="516">
        <f>'Page 4'!H11</f>
        <v>160000</v>
      </c>
      <c r="H19" s="463">
        <f>'Page 4'!I11</f>
        <v>290819</v>
      </c>
      <c r="I19" s="445"/>
      <c r="J19" s="445"/>
      <c r="K19" s="463">
        <f t="shared" si="0"/>
        <v>0</v>
      </c>
    </row>
    <row r="20" spans="1:11" x14ac:dyDescent="0.2">
      <c r="A20" s="461" t="s">
        <v>496</v>
      </c>
      <c r="B20" s="462">
        <f>IF('Page 5'!G26="",'Page 5'!F26,'Page 5'!G26)</f>
        <v>0</v>
      </c>
      <c r="C20" s="439"/>
      <c r="D20" s="463">
        <f>'Page 5'!H26</f>
        <v>0</v>
      </c>
      <c r="E20" s="446"/>
      <c r="F20" s="467">
        <v>0</v>
      </c>
      <c r="G20" s="516">
        <f>'Page 5'!N26</f>
        <v>0</v>
      </c>
      <c r="H20" s="463">
        <f>'Page 5'!O26</f>
        <v>0</v>
      </c>
      <c r="I20" s="445"/>
      <c r="J20" s="445"/>
      <c r="K20" s="463">
        <f t="shared" si="0"/>
        <v>0</v>
      </c>
    </row>
    <row r="21" spans="1:11" x14ac:dyDescent="0.2">
      <c r="A21" s="461" t="s">
        <v>497</v>
      </c>
      <c r="B21" s="462">
        <f>IF('Page 5'!G48="",'Page 5'!F48,'Page 5'!G48)</f>
        <v>0</v>
      </c>
      <c r="C21" s="439"/>
      <c r="D21" s="463">
        <f>'Page 5'!H48</f>
        <v>0</v>
      </c>
      <c r="E21" s="446"/>
      <c r="F21" s="467">
        <v>0</v>
      </c>
      <c r="G21" s="516">
        <f>'Page 5'!N48</f>
        <v>0</v>
      </c>
      <c r="H21" s="463">
        <f>'Page 5'!O48</f>
        <v>0</v>
      </c>
      <c r="I21" s="445"/>
      <c r="J21" s="445"/>
      <c r="K21" s="463">
        <f t="shared" si="0"/>
        <v>0</v>
      </c>
    </row>
    <row r="22" spans="1:11" x14ac:dyDescent="0.2">
      <c r="A22" s="461" t="s">
        <v>498</v>
      </c>
      <c r="B22" s="463">
        <f>IF('Page 8'!F23="",'Page 8'!E23,'Page 8'!F23)</f>
        <v>0</v>
      </c>
      <c r="C22" s="439"/>
      <c r="D22" s="463">
        <f>'Page 8'!G23</f>
        <v>0</v>
      </c>
      <c r="E22" s="542">
        <f>'Page 8'!H23</f>
        <v>0</v>
      </c>
      <c r="F22" s="462">
        <f>'Page 8'!I23</f>
        <v>0</v>
      </c>
      <c r="G22" s="516">
        <f>'Page 8'!J23</f>
        <v>0</v>
      </c>
      <c r="H22" s="463">
        <f>'Page 8'!K23</f>
        <v>0</v>
      </c>
      <c r="I22" s="464">
        <f>'Page 8'!M23</f>
        <v>0</v>
      </c>
      <c r="J22" s="462">
        <f>'Page 8'!L23</f>
        <v>0</v>
      </c>
      <c r="K22" s="463">
        <f t="shared" si="0"/>
        <v>0</v>
      </c>
    </row>
    <row r="23" spans="1:11" x14ac:dyDescent="0.2">
      <c r="A23" s="461" t="s">
        <v>499</v>
      </c>
      <c r="B23" s="463">
        <f>IF('Page 8'!F40="",'Page 8'!E40,'Page 8'!F40)</f>
        <v>0</v>
      </c>
      <c r="C23" s="439"/>
      <c r="D23" s="463">
        <f>'Page 8'!G40</f>
        <v>2232</v>
      </c>
      <c r="E23" s="446"/>
      <c r="F23" s="462">
        <f>'Page 8'!I40</f>
        <v>0</v>
      </c>
      <c r="G23" s="466">
        <f>'Page 8'!J40</f>
        <v>0</v>
      </c>
      <c r="H23" s="465">
        <f>'Page 8'!K40</f>
        <v>2232</v>
      </c>
      <c r="I23" s="462">
        <f>'Page 8'!M40</f>
        <v>0</v>
      </c>
      <c r="J23" s="462">
        <f>'Page 8'!L40</f>
        <v>0</v>
      </c>
      <c r="K23" s="463">
        <f t="shared" si="0"/>
        <v>0</v>
      </c>
    </row>
  </sheetData>
  <sheetProtection sheet="1" objects="1" scenarios="1"/>
  <mergeCells count="4">
    <mergeCell ref="G8:G10"/>
    <mergeCell ref="H8:H10"/>
    <mergeCell ref="B1:C1"/>
    <mergeCell ref="D8:D10"/>
  </mergeCells>
  <conditionalFormatting sqref="B17:C17">
    <cfRule type="containsBlanks" dxfId="26" priority="6">
      <formula>LEN(TRIM(B17))=0</formula>
    </cfRule>
  </conditionalFormatting>
  <conditionalFormatting sqref="F17:F21">
    <cfRule type="containsBlanks" dxfId="25" priority="5">
      <formula>LEN(TRIM(F17))=0</formula>
    </cfRule>
  </conditionalFormatting>
  <conditionalFormatting sqref="G17:J17">
    <cfRule type="containsBlanks" dxfId="24" priority="1">
      <formula>LEN(TRIM(G17))=0</formula>
    </cfRule>
  </conditionalFormatting>
  <conditionalFormatting sqref="I5">
    <cfRule type="containsBlanks" priority="11">
      <formula>LEN(TRIM(I5))=0</formula>
    </cfRule>
  </conditionalFormatting>
  <conditionalFormatting sqref="I5:J5">
    <cfRule type="containsBlanks" dxfId="23" priority="8">
      <formula>LEN(TRIM(I5))=0</formula>
    </cfRule>
  </conditionalFormatting>
  <dataValidations count="1">
    <dataValidation allowBlank="1" showInputMessage="1" showErrorMessage="1" promptTitle="Reversions" prompt="Enter as a positive amount." sqref="F17:F21"/>
  </dataValidations>
  <hyperlinks>
    <hyperlink ref="B9:B10" r:id="rId1" display="Beginning"/>
    <hyperlink ref="B10" location="BegProjectBalances" display="Project Balance"/>
    <hyperlink ref="B9" location="BegProjectBalances" display="Beginning"/>
    <hyperlink ref="C8:C10" location="AdjustedBeginningProjectBalance" display="Adjusted "/>
    <hyperlink ref="H4" location="SumADM" display="Avg. Daily Membership"/>
    <hyperlink ref="A3" location="SumGen" display="Instructions"/>
  </hyperlinks>
  <pageMargins left="0.7" right="0.17" top="0.75" bottom="0.75" header="0.3" footer="0.3"/>
  <pageSetup paperSize="5" scale="62" orientation="landscape" r:id="rId2"/>
  <headerFooter>
    <oddFooter>&amp;LRev. 8/25 Arizona Department of Education and Auditor General&amp;CFY 2025
No assurance provided.</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6"/>
  <sheetViews>
    <sheetView showGridLines="0" tabSelected="1" topLeftCell="B4" workbookViewId="0">
      <selection activeCell="C21" sqref="C21"/>
    </sheetView>
  </sheetViews>
  <sheetFormatPr defaultColWidth="8.83203125" defaultRowHeight="12.75" x14ac:dyDescent="0.2"/>
  <cols>
    <col min="1" max="1" width="4.6640625" customWidth="1"/>
    <col min="2" max="2" width="50.1640625" customWidth="1"/>
    <col min="3" max="3" width="24" customWidth="1"/>
    <col min="4" max="4" width="24.1640625" customWidth="1"/>
    <col min="5" max="5" width="26.6640625" customWidth="1"/>
    <col min="6" max="6" width="25.83203125" customWidth="1"/>
    <col min="7" max="7" width="27.6640625" customWidth="1"/>
    <col min="8" max="8" width="19.33203125" customWidth="1"/>
    <col min="9" max="9" width="11.1640625" customWidth="1"/>
    <col min="10" max="10" width="8.83203125" customWidth="1"/>
  </cols>
  <sheetData>
    <row r="1" spans="1:18" s="323" customFormat="1" x14ac:dyDescent="0.2">
      <c r="B1" s="322" t="s">
        <v>0</v>
      </c>
      <c r="C1" s="585" t="str">
        <f>'Cover Page'!D1</f>
        <v>Eduprize Schools LLC</v>
      </c>
      <c r="D1" s="585"/>
      <c r="E1" s="585"/>
      <c r="G1" s="322" t="s">
        <v>1</v>
      </c>
      <c r="H1" s="900" t="str">
        <f>'Cover Page'!M1</f>
        <v>Pinal</v>
      </c>
      <c r="I1" s="900"/>
      <c r="J1" s="324"/>
      <c r="K1" s="322" t="s">
        <v>2</v>
      </c>
      <c r="L1" s="325" t="str">
        <f>'Cover Page'!R1</f>
        <v>078687000</v>
      </c>
      <c r="M1" s="326"/>
      <c r="N1" s="326"/>
      <c r="O1" s="327"/>
      <c r="P1" s="328"/>
      <c r="R1" s="329"/>
    </row>
    <row r="2" spans="1:18" s="323" customFormat="1" x14ac:dyDescent="0.2">
      <c r="B2" s="322"/>
      <c r="C2" s="326"/>
      <c r="D2" s="326"/>
      <c r="E2" s="326"/>
      <c r="G2" s="322"/>
      <c r="H2" s="326"/>
      <c r="I2" s="326"/>
      <c r="J2" s="324"/>
      <c r="K2" s="322"/>
      <c r="L2" s="468"/>
      <c r="M2" s="326"/>
      <c r="N2" s="326"/>
      <c r="O2" s="327"/>
      <c r="P2" s="328"/>
      <c r="R2" s="329"/>
    </row>
    <row r="3" spans="1:18" s="469" customFormat="1" ht="24.75" customHeight="1" x14ac:dyDescent="0.2">
      <c r="A3" s="958" t="s">
        <v>1134</v>
      </c>
      <c r="B3" s="958"/>
      <c r="C3" s="958"/>
      <c r="D3" s="958"/>
      <c r="E3" s="958"/>
      <c r="F3" s="958"/>
      <c r="G3" s="958"/>
      <c r="H3" s="958"/>
      <c r="J3" s="470"/>
      <c r="K3" s="471"/>
      <c r="L3" s="472"/>
      <c r="Q3" s="473"/>
      <c r="R3" s="474"/>
    </row>
    <row r="4" spans="1:18" s="469" customFormat="1" ht="16.5" customHeight="1" x14ac:dyDescent="0.2">
      <c r="A4" s="475"/>
      <c r="B4" s="475"/>
      <c r="C4" s="475"/>
      <c r="D4" s="475"/>
      <c r="E4" s="475"/>
      <c r="F4" s="475"/>
      <c r="G4" s="475"/>
      <c r="H4" s="475"/>
      <c r="J4" s="470"/>
      <c r="K4" s="471"/>
      <c r="L4" s="472"/>
      <c r="Q4" s="473"/>
      <c r="R4" s="474"/>
    </row>
    <row r="5" spans="1:18" x14ac:dyDescent="0.2">
      <c r="A5" s="955" t="s">
        <v>1130</v>
      </c>
      <c r="B5" s="955"/>
    </row>
    <row r="7" spans="1:18" x14ac:dyDescent="0.2">
      <c r="C7" s="476" t="s">
        <v>500</v>
      </c>
      <c r="R7" s="51" t="s">
        <v>501</v>
      </c>
    </row>
    <row r="8" spans="1:18" x14ac:dyDescent="0.2">
      <c r="A8" s="477" t="s">
        <v>1135</v>
      </c>
      <c r="C8" s="478"/>
    </row>
    <row r="9" spans="1:18" x14ac:dyDescent="0.2">
      <c r="A9" s="479" t="s">
        <v>24</v>
      </c>
      <c r="B9" s="684" t="s">
        <v>1331</v>
      </c>
      <c r="C9" s="463">
        <f>IF(Summary!C17="",Summary!B17,Summary!C17)+SUM(Summary!B18:B23)</f>
        <v>1915311</v>
      </c>
    </row>
    <row r="10" spans="1:18" x14ac:dyDescent="0.2">
      <c r="A10" s="481" t="s">
        <v>1136</v>
      </c>
      <c r="C10" s="478"/>
    </row>
    <row r="11" spans="1:18" x14ac:dyDescent="0.2">
      <c r="A11" s="479" t="s">
        <v>26</v>
      </c>
      <c r="B11" s="684" t="s">
        <v>1332</v>
      </c>
      <c r="C11" s="463">
        <f>SUM(Summary!K17:K23)</f>
        <v>-6429486</v>
      </c>
    </row>
    <row r="12" spans="1:18" x14ac:dyDescent="0.2">
      <c r="A12" s="959" t="s">
        <v>1337</v>
      </c>
      <c r="B12" s="959"/>
    </row>
    <row r="13" spans="1:18" x14ac:dyDescent="0.2">
      <c r="A13" s="479" t="s">
        <v>502</v>
      </c>
      <c r="B13" s="480" t="s">
        <v>503</v>
      </c>
      <c r="C13" s="105">
        <v>-6429486</v>
      </c>
    </row>
    <row r="14" spans="1:18" x14ac:dyDescent="0.2">
      <c r="A14" s="479" t="s">
        <v>504</v>
      </c>
      <c r="B14" s="685" t="s">
        <v>1333</v>
      </c>
      <c r="C14" s="105">
        <v>0</v>
      </c>
    </row>
    <row r="15" spans="1:18" x14ac:dyDescent="0.2">
      <c r="A15" s="479" t="s">
        <v>505</v>
      </c>
      <c r="B15" s="671" t="s">
        <v>1334</v>
      </c>
      <c r="C15" s="105">
        <v>0</v>
      </c>
    </row>
    <row r="16" spans="1:18" x14ac:dyDescent="0.2">
      <c r="A16" s="479" t="s">
        <v>506</v>
      </c>
      <c r="B16" s="671" t="s">
        <v>1335</v>
      </c>
      <c r="C16" s="105">
        <v>0</v>
      </c>
    </row>
    <row r="17" spans="1:27" x14ac:dyDescent="0.2">
      <c r="A17" s="479" t="s">
        <v>507</v>
      </c>
      <c r="B17" s="671" t="s">
        <v>1336</v>
      </c>
      <c r="C17" s="105">
        <v>0</v>
      </c>
    </row>
    <row r="18" spans="1:27" x14ac:dyDescent="0.2">
      <c r="A18" s="479" t="s">
        <v>508</v>
      </c>
      <c r="B18" t="s">
        <v>509</v>
      </c>
      <c r="C18" s="105">
        <v>0</v>
      </c>
    </row>
    <row r="19" spans="1:27" x14ac:dyDescent="0.2">
      <c r="A19" s="479" t="s">
        <v>510</v>
      </c>
      <c r="B19" s="482" t="s">
        <v>511</v>
      </c>
      <c r="C19" s="105">
        <v>0</v>
      </c>
    </row>
    <row r="20" spans="1:27" x14ac:dyDescent="0.2">
      <c r="A20" s="7" t="s">
        <v>512</v>
      </c>
      <c r="B20" s="482" t="s">
        <v>511</v>
      </c>
      <c r="C20" s="105">
        <v>0</v>
      </c>
    </row>
    <row r="21" spans="1:27" x14ac:dyDescent="0.2">
      <c r="A21" s="7" t="s">
        <v>513</v>
      </c>
      <c r="B21" t="s">
        <v>1131</v>
      </c>
      <c r="C21" s="516">
        <f>IF(ROUND(SUM(C13:C20),0)=ROUND(C11,0),SUM(C13:C20),"Must equal line 2")</f>
        <v>-6429486</v>
      </c>
    </row>
    <row r="22" spans="1:27" x14ac:dyDescent="0.2">
      <c r="A22" s="483"/>
    </row>
    <row r="23" spans="1:27" x14ac:dyDescent="0.2">
      <c r="A23" s="483"/>
    </row>
    <row r="24" spans="1:27" x14ac:dyDescent="0.2">
      <c r="A24" s="568"/>
      <c r="B24" s="568"/>
      <c r="D24" s="568"/>
      <c r="E24" s="568"/>
      <c r="F24" s="568"/>
      <c r="G24" s="568"/>
      <c r="H24" s="568"/>
    </row>
    <row r="25" spans="1:27" ht="39" customHeight="1" x14ac:dyDescent="0.2">
      <c r="A25" s="961" t="s">
        <v>1124</v>
      </c>
      <c r="B25" s="961"/>
      <c r="F25" s="596"/>
      <c r="G25" s="597" t="s">
        <v>1125</v>
      </c>
      <c r="H25" s="484"/>
      <c r="AA25" s="51" t="s">
        <v>514</v>
      </c>
    </row>
    <row r="26" spans="1:27" ht="28.5" customHeight="1" x14ac:dyDescent="0.2">
      <c r="A26" s="960" t="s">
        <v>24</v>
      </c>
      <c r="B26" s="963" t="s">
        <v>1132</v>
      </c>
      <c r="C26" s="963"/>
      <c r="D26" s="963"/>
      <c r="E26" s="964"/>
      <c r="F26" s="490" t="s">
        <v>515</v>
      </c>
      <c r="G26" s="602" t="s">
        <v>1392</v>
      </c>
      <c r="AA26" s="51" t="s">
        <v>515</v>
      </c>
    </row>
    <row r="27" spans="1:27" x14ac:dyDescent="0.2">
      <c r="A27" s="960"/>
      <c r="B27" s="598"/>
      <c r="C27" s="598"/>
      <c r="D27" s="598"/>
      <c r="E27" s="598"/>
      <c r="AA27" s="51" t="s">
        <v>515</v>
      </c>
    </row>
    <row r="28" spans="1:27" ht="44.25" customHeight="1" x14ac:dyDescent="0.2">
      <c r="A28" s="962" t="s">
        <v>1133</v>
      </c>
      <c r="B28" s="962"/>
      <c r="C28" s="962"/>
      <c r="D28" s="962"/>
      <c r="E28" s="962"/>
      <c r="F28" s="962"/>
    </row>
    <row r="29" spans="1:27" ht="20.25" customHeight="1" x14ac:dyDescent="0.2">
      <c r="A29" s="562" t="s">
        <v>26</v>
      </c>
      <c r="B29" s="956" t="s">
        <v>1126</v>
      </c>
      <c r="C29" s="956"/>
      <c r="D29" s="956"/>
      <c r="E29" s="957"/>
      <c r="F29" s="490" t="s">
        <v>515</v>
      </c>
      <c r="H29" s="484"/>
    </row>
    <row r="30" spans="1:27" ht="29.25" customHeight="1" x14ac:dyDescent="0.2">
      <c r="A30" s="562" t="s">
        <v>516</v>
      </c>
      <c r="B30" s="956" t="s">
        <v>1127</v>
      </c>
      <c r="C30" s="956"/>
      <c r="D30" s="956"/>
      <c r="E30" s="957"/>
      <c r="F30" s="490" t="s">
        <v>515</v>
      </c>
      <c r="G30" s="7"/>
      <c r="H30" s="604"/>
      <c r="AA30" s="51"/>
    </row>
    <row r="31" spans="1:27" ht="12" customHeight="1" x14ac:dyDescent="0.2">
      <c r="A31" s="485"/>
      <c r="B31" s="587"/>
      <c r="C31" s="587"/>
      <c r="D31" s="587"/>
      <c r="E31" s="587"/>
      <c r="F31" s="7"/>
      <c r="G31" s="7"/>
      <c r="H31" s="5"/>
      <c r="AA31" s="51"/>
    </row>
    <row r="32" spans="1:27" ht="15.75" customHeight="1" x14ac:dyDescent="0.2">
      <c r="A32" s="686" t="s">
        <v>1338</v>
      </c>
      <c r="B32" s="564"/>
      <c r="C32" s="564"/>
      <c r="D32" s="564"/>
      <c r="E32" s="564"/>
      <c r="F32" s="564"/>
      <c r="G32" s="486"/>
      <c r="H32" s="487"/>
    </row>
    <row r="33" spans="1:10" ht="11.25" customHeight="1" x14ac:dyDescent="0.2">
      <c r="A33" s="588"/>
      <c r="B33" s="547"/>
      <c r="C33" s="547"/>
      <c r="D33" s="547"/>
      <c r="E33" s="547"/>
      <c r="F33" s="547"/>
      <c r="G33" s="486"/>
      <c r="H33" s="487"/>
    </row>
    <row r="34" spans="1:10" ht="28.5" customHeight="1" x14ac:dyDescent="0.2">
      <c r="A34" s="563" t="s">
        <v>31</v>
      </c>
      <c r="B34" s="565" t="s">
        <v>517</v>
      </c>
      <c r="C34" s="565" t="s">
        <v>1339</v>
      </c>
      <c r="D34" s="565" t="s">
        <v>1340</v>
      </c>
      <c r="E34" s="974" t="s">
        <v>518</v>
      </c>
      <c r="F34" s="975"/>
      <c r="G34" s="975"/>
      <c r="H34" s="975"/>
      <c r="I34" s="975"/>
      <c r="J34" s="976"/>
    </row>
    <row r="35" spans="1:10" ht="39.75" customHeight="1" x14ac:dyDescent="0.2">
      <c r="A35" s="563"/>
      <c r="B35" s="638" t="s">
        <v>1392</v>
      </c>
      <c r="C35" s="105">
        <v>0</v>
      </c>
      <c r="D35" s="105">
        <v>0</v>
      </c>
      <c r="E35" s="977"/>
      <c r="F35" s="978"/>
      <c r="G35" s="978"/>
      <c r="H35" s="978"/>
      <c r="I35" s="978"/>
      <c r="J35" s="979"/>
    </row>
    <row r="36" spans="1:10" ht="39.75" customHeight="1" x14ac:dyDescent="0.2">
      <c r="A36" s="563"/>
      <c r="B36" s="638" t="s">
        <v>1392</v>
      </c>
      <c r="C36" s="105">
        <v>0</v>
      </c>
      <c r="D36" s="105">
        <v>0</v>
      </c>
      <c r="E36" s="980"/>
      <c r="F36" s="981"/>
      <c r="G36" s="981"/>
      <c r="H36" s="981"/>
      <c r="I36" s="981"/>
      <c r="J36" s="982"/>
    </row>
    <row r="37" spans="1:10" ht="39.75" customHeight="1" x14ac:dyDescent="0.2">
      <c r="A37" s="563"/>
      <c r="B37" s="638" t="s">
        <v>1392</v>
      </c>
      <c r="C37" s="105">
        <v>0</v>
      </c>
      <c r="D37" s="105">
        <v>0</v>
      </c>
      <c r="E37" s="980"/>
      <c r="F37" s="981"/>
      <c r="G37" s="981"/>
      <c r="H37" s="981"/>
      <c r="I37" s="981"/>
      <c r="J37" s="982"/>
    </row>
    <row r="38" spans="1:10" ht="39.75" customHeight="1" x14ac:dyDescent="0.2">
      <c r="A38" s="563"/>
      <c r="B38" s="638" t="s">
        <v>1392</v>
      </c>
      <c r="C38" s="105">
        <v>0</v>
      </c>
      <c r="D38" s="105">
        <v>0</v>
      </c>
      <c r="E38" s="980"/>
      <c r="F38" s="981"/>
      <c r="G38" s="981"/>
      <c r="H38" s="981"/>
      <c r="I38" s="981"/>
      <c r="J38" s="982"/>
    </row>
    <row r="39" spans="1:10" ht="16.5" customHeight="1" x14ac:dyDescent="0.2">
      <c r="A39" s="588"/>
      <c r="B39" s="566" t="s">
        <v>519</v>
      </c>
      <c r="C39" s="551">
        <f>SUM(C35:C38)</f>
        <v>0</v>
      </c>
      <c r="D39" s="551">
        <f>SUM(D35:D38)</f>
        <v>0</v>
      </c>
      <c r="E39" s="488"/>
      <c r="F39" s="480"/>
      <c r="G39" s="480"/>
      <c r="H39" s="480"/>
      <c r="I39" s="480"/>
    </row>
    <row r="40" spans="1:10" ht="16.5" customHeight="1" x14ac:dyDescent="0.2">
      <c r="A40" s="588"/>
      <c r="B40" s="587"/>
      <c r="C40" s="587"/>
      <c r="D40" s="488"/>
      <c r="E40" s="488"/>
      <c r="F40" s="480"/>
      <c r="G40" s="480"/>
      <c r="H40" s="480"/>
      <c r="I40" s="480"/>
    </row>
    <row r="41" spans="1:10" ht="19.5" customHeight="1" x14ac:dyDescent="0.2">
      <c r="A41" s="563" t="s">
        <v>33</v>
      </c>
      <c r="B41" s="687" t="s">
        <v>1341</v>
      </c>
      <c r="C41" s="176"/>
      <c r="D41" s="176"/>
      <c r="E41" s="176"/>
      <c r="F41" s="176"/>
      <c r="G41" s="176"/>
      <c r="H41" s="176"/>
      <c r="I41" s="176"/>
    </row>
    <row r="42" spans="1:10" x14ac:dyDescent="0.2">
      <c r="A42" s="489"/>
      <c r="B42" s="965" t="s">
        <v>1511</v>
      </c>
      <c r="C42" s="966"/>
      <c r="D42" s="966"/>
      <c r="E42" s="966"/>
      <c r="F42" s="966"/>
      <c r="G42" s="966"/>
      <c r="H42" s="966"/>
      <c r="I42" s="967"/>
    </row>
    <row r="43" spans="1:10" x14ac:dyDescent="0.2">
      <c r="A43" s="4"/>
      <c r="B43" s="968"/>
      <c r="C43" s="969"/>
      <c r="D43" s="969"/>
      <c r="E43" s="969"/>
      <c r="F43" s="969"/>
      <c r="G43" s="969"/>
      <c r="H43" s="969"/>
      <c r="I43" s="970"/>
    </row>
    <row r="44" spans="1:10" ht="12.75" customHeight="1" x14ac:dyDescent="0.2">
      <c r="A44" s="4"/>
      <c r="B44" s="968"/>
      <c r="C44" s="969"/>
      <c r="D44" s="969"/>
      <c r="E44" s="969"/>
      <c r="F44" s="969"/>
      <c r="G44" s="969"/>
      <c r="H44" s="969"/>
      <c r="I44" s="970"/>
    </row>
    <row r="45" spans="1:10" x14ac:dyDescent="0.2">
      <c r="A45" s="4"/>
      <c r="B45" s="968"/>
      <c r="C45" s="969"/>
      <c r="D45" s="969"/>
      <c r="E45" s="969"/>
      <c r="F45" s="969"/>
      <c r="G45" s="969"/>
      <c r="H45" s="969"/>
      <c r="I45" s="970"/>
    </row>
    <row r="46" spans="1:10" x14ac:dyDescent="0.2">
      <c r="A46" s="4"/>
      <c r="B46" s="971"/>
      <c r="C46" s="972"/>
      <c r="D46" s="972"/>
      <c r="E46" s="972"/>
      <c r="F46" s="972"/>
      <c r="G46" s="972"/>
      <c r="H46" s="972"/>
      <c r="I46" s="973"/>
    </row>
  </sheetData>
  <sheetProtection sheet="1" objects="1" scenarios="1"/>
  <mergeCells count="16">
    <mergeCell ref="B42:I46"/>
    <mergeCell ref="E34:J34"/>
    <mergeCell ref="E35:J35"/>
    <mergeCell ref="E36:J36"/>
    <mergeCell ref="E37:J37"/>
    <mergeCell ref="E38:J38"/>
    <mergeCell ref="H1:I1"/>
    <mergeCell ref="A5:B5"/>
    <mergeCell ref="B30:E30"/>
    <mergeCell ref="A3:H3"/>
    <mergeCell ref="A12:B12"/>
    <mergeCell ref="A26:A27"/>
    <mergeCell ref="A25:B25"/>
    <mergeCell ref="A28:F28"/>
    <mergeCell ref="B29:E29"/>
    <mergeCell ref="B26:E26"/>
  </mergeCells>
  <conditionalFormatting sqref="B35:B38">
    <cfRule type="expression" dxfId="22" priority="9">
      <formula>$F$30="No"</formula>
    </cfRule>
  </conditionalFormatting>
  <conditionalFormatting sqref="B42">
    <cfRule type="expression" dxfId="21" priority="5">
      <formula>$F$30="No"</formula>
    </cfRule>
    <cfRule type="containsBlanks" dxfId="20" priority="6">
      <formula>LEN(TRIM(B42))=0</formula>
    </cfRule>
  </conditionalFormatting>
  <conditionalFormatting sqref="B35:E38">
    <cfRule type="containsBlanks" dxfId="19" priority="8">
      <formula>LEN(TRIM(B35))=0</formula>
    </cfRule>
  </conditionalFormatting>
  <conditionalFormatting sqref="C13:C20 F26:G26">
    <cfRule type="containsBlanks" dxfId="18" priority="34">
      <formula>LEN(TRIM(C13))=0</formula>
    </cfRule>
  </conditionalFormatting>
  <conditionalFormatting sqref="C39:D39">
    <cfRule type="containsBlanks" dxfId="17" priority="3">
      <formula>LEN(TRIM(C39))=0</formula>
    </cfRule>
  </conditionalFormatting>
  <conditionalFormatting sqref="E35:E38">
    <cfRule type="expression" dxfId="16" priority="7">
      <formula>$F$30="No"</formula>
    </cfRule>
  </conditionalFormatting>
  <conditionalFormatting sqref="F29:F30">
    <cfRule type="containsBlanks" dxfId="15" priority="1">
      <formula>LEN(TRIM(F29))=0</formula>
    </cfRule>
  </conditionalFormatting>
  <dataValidations count="5">
    <dataValidation type="list" allowBlank="1" showInputMessage="1" showErrorMessage="1" sqref="F31">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formula1>9</formula1>
    </dataValidation>
    <dataValidation type="list" allowBlank="1" showInputMessage="1" showErrorMessage="1" sqref="F26 F29:F30">
      <formula1>$AA$25:$AA$26</formula1>
    </dataValidation>
  </dataValidations>
  <hyperlinks>
    <hyperlink ref="A12" location="ReserveBalSecAl3" display="FY 2023 ending reserve details:"/>
    <hyperlink ref="A18" location="ReserveBalSecAl3f" display="3.f"/>
    <hyperlink ref="A19" location="ReserveBalSecAl3g" display="3.g"/>
    <hyperlink ref="A13" location="ReserveBalSecAl3a" display="3.a"/>
    <hyperlink ref="A16" location="ReserveBalSecAl3d" display="3.d"/>
    <hyperlink ref="A15" location="ReserveBalSecAl3c" display="3.c"/>
    <hyperlink ref="A14" location="ReserveBalSecAl3b" display="3.b"/>
    <hyperlink ref="A11" location="ReserveBalSecAl2" display="2."/>
    <hyperlink ref="A9" location="ReserveBalSecAl1" display="1."/>
    <hyperlink ref="A5" location="ReserveBalSecA" display="A. FY 2023 change in reserve amounts and planned allocations"/>
    <hyperlink ref="A17" location="ReserveBalSecAl3e" display="3.e"/>
  </hyperlinks>
  <pageMargins left="0.7" right="0.7" top="0.28000000000000003" bottom="0.46" header="0.18" footer="0.17"/>
  <pageSetup paperSize="5" scale="68" orientation="landscape" r:id="rId1"/>
  <headerFooter>
    <oddFooter>&amp;LRev. 8/25 Arizona Department of Education and Auditor General&amp;CFY 2025
No assurance provided.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99"/>
  <sheetViews>
    <sheetView showGridLines="0" workbookViewId="0">
      <selection activeCell="D10" sqref="D10:D12"/>
    </sheetView>
  </sheetViews>
  <sheetFormatPr defaultColWidth="9.6640625" defaultRowHeight="15" x14ac:dyDescent="0.25"/>
  <cols>
    <col min="1" max="1" width="25.6640625" style="496" customWidth="1"/>
    <col min="2" max="2" width="76.6640625" style="496" customWidth="1"/>
    <col min="3" max="4" width="23.6640625" style="496" customWidth="1"/>
    <col min="5" max="6" width="26.83203125" style="496" customWidth="1"/>
    <col min="7" max="7" width="45.83203125" style="496" customWidth="1"/>
    <col min="8" max="11" width="9.6640625" style="496" customWidth="1"/>
    <col min="12" max="12" width="8.83203125" style="496" hidden="1" customWidth="1"/>
    <col min="13" max="16" width="9.6640625" style="496" customWidth="1"/>
    <col min="17" max="16384" width="9.6640625" style="496"/>
  </cols>
  <sheetData>
    <row r="1" spans="1:12" x14ac:dyDescent="0.25">
      <c r="A1" s="494" t="s">
        <v>4</v>
      </c>
      <c r="B1" s="495" t="str">
        <f>'Cover Page'!D1</f>
        <v>Eduprize Schools LLC</v>
      </c>
      <c r="D1" s="986" t="s">
        <v>724</v>
      </c>
      <c r="E1" s="986"/>
    </row>
    <row r="2" spans="1:12" x14ac:dyDescent="0.25">
      <c r="A2" s="497" t="s">
        <v>2</v>
      </c>
      <c r="B2" s="498" t="str">
        <f>'Cover Page'!R1</f>
        <v>078687000</v>
      </c>
      <c r="D2" s="643"/>
    </row>
    <row r="3" spans="1:12" x14ac:dyDescent="0.25">
      <c r="A3" s="497" t="s">
        <v>1</v>
      </c>
      <c r="B3" s="495" t="str">
        <f>'Cover Page'!M1</f>
        <v>Pinal</v>
      </c>
    </row>
    <row r="4" spans="1:12" x14ac:dyDescent="0.25">
      <c r="D4" s="983" t="s">
        <v>528</v>
      </c>
      <c r="E4" s="984"/>
      <c r="F4" s="984"/>
      <c r="G4" s="985"/>
    </row>
    <row r="6" spans="1:12" ht="43.5" x14ac:dyDescent="0.25">
      <c r="A6" s="499" t="s">
        <v>529</v>
      </c>
      <c r="B6" s="500" t="s">
        <v>530</v>
      </c>
      <c r="C6" s="499" t="s">
        <v>531</v>
      </c>
      <c r="D6" s="501" t="s">
        <v>532</v>
      </c>
      <c r="E6" s="499" t="s">
        <v>533</v>
      </c>
      <c r="F6" s="499" t="s">
        <v>534</v>
      </c>
      <c r="G6" s="499" t="s">
        <v>535</v>
      </c>
    </row>
    <row r="7" spans="1:12" x14ac:dyDescent="0.25">
      <c r="A7" s="502" t="s">
        <v>536</v>
      </c>
      <c r="B7" s="503" t="s">
        <v>536</v>
      </c>
      <c r="C7" s="504" t="str">
        <f>B2</f>
        <v>078687000</v>
      </c>
      <c r="D7" s="697">
        <v>2894.0970000000002</v>
      </c>
      <c r="E7" s="9">
        <v>500</v>
      </c>
      <c r="F7" s="11">
        <v>500</v>
      </c>
      <c r="G7" s="12"/>
      <c r="L7" s="496" t="s">
        <v>537</v>
      </c>
    </row>
    <row r="8" spans="1:12" ht="13.5" customHeight="1" x14ac:dyDescent="0.25">
      <c r="A8" s="508" t="s">
        <v>538</v>
      </c>
      <c r="B8" s="509"/>
      <c r="C8" s="509"/>
      <c r="D8" s="509"/>
      <c r="E8" s="9"/>
      <c r="F8" s="11"/>
      <c r="G8" s="9"/>
      <c r="L8" s="496" t="s">
        <v>539</v>
      </c>
    </row>
    <row r="9" spans="1:12" x14ac:dyDescent="0.25">
      <c r="A9" s="502" t="s">
        <v>540</v>
      </c>
      <c r="B9" s="509"/>
      <c r="C9" s="509"/>
      <c r="D9" s="509"/>
      <c r="E9" s="509"/>
      <c r="F9" s="11"/>
      <c r="G9" s="509"/>
      <c r="L9" s="496" t="s">
        <v>541</v>
      </c>
    </row>
    <row r="10" spans="1:12" x14ac:dyDescent="0.25">
      <c r="A10" s="502" t="s">
        <v>542</v>
      </c>
      <c r="B10" s="9" t="s">
        <v>1396</v>
      </c>
      <c r="C10" s="10" t="s">
        <v>1393</v>
      </c>
      <c r="D10" s="697">
        <v>1632.684</v>
      </c>
      <c r="E10" s="9">
        <v>101</v>
      </c>
      <c r="F10" s="11">
        <v>101</v>
      </c>
      <c r="G10" s="12"/>
      <c r="L10" s="496" t="s">
        <v>543</v>
      </c>
    </row>
    <row r="11" spans="1:12" x14ac:dyDescent="0.25">
      <c r="A11" s="502" t="s">
        <v>544</v>
      </c>
      <c r="B11" s="9" t="s">
        <v>1397</v>
      </c>
      <c r="C11" s="10" t="s">
        <v>1394</v>
      </c>
      <c r="D11" s="697">
        <f>1022.4642+191.5191</f>
        <v>1213.9829999999999</v>
      </c>
      <c r="E11" s="9">
        <v>102</v>
      </c>
      <c r="F11" s="11">
        <v>102</v>
      </c>
      <c r="G11" s="12"/>
      <c r="L11" s="496" t="s">
        <v>545</v>
      </c>
    </row>
    <row r="12" spans="1:12" x14ac:dyDescent="0.25">
      <c r="A12" s="502" t="s">
        <v>546</v>
      </c>
      <c r="B12" s="9" t="s">
        <v>1398</v>
      </c>
      <c r="C12" s="10" t="s">
        <v>1395</v>
      </c>
      <c r="D12" s="697">
        <f>0.2928+29.1558+17.9814</f>
        <v>47.43</v>
      </c>
      <c r="E12" s="9">
        <v>103</v>
      </c>
      <c r="F12" s="11">
        <v>103</v>
      </c>
      <c r="G12" s="12"/>
      <c r="L12" s="496" t="s">
        <v>547</v>
      </c>
    </row>
    <row r="13" spans="1:12" x14ac:dyDescent="0.25">
      <c r="A13" s="502" t="s">
        <v>548</v>
      </c>
      <c r="B13" s="9"/>
      <c r="C13" s="10"/>
      <c r="D13" s="697"/>
      <c r="E13" s="9"/>
      <c r="F13" s="11"/>
      <c r="G13" s="12"/>
      <c r="L13" s="496" t="s">
        <v>549</v>
      </c>
    </row>
    <row r="14" spans="1:12" x14ac:dyDescent="0.25">
      <c r="A14" s="502" t="s">
        <v>550</v>
      </c>
      <c r="B14" s="9"/>
      <c r="C14" s="10"/>
      <c r="D14" s="697"/>
      <c r="E14" s="9"/>
      <c r="F14" s="11"/>
      <c r="G14" s="12"/>
      <c r="L14" s="496" t="s">
        <v>551</v>
      </c>
    </row>
    <row r="15" spans="1:12" x14ac:dyDescent="0.25">
      <c r="A15" s="502" t="s">
        <v>552</v>
      </c>
      <c r="B15" s="9"/>
      <c r="C15" s="10"/>
      <c r="D15" s="697"/>
      <c r="E15" s="9"/>
      <c r="F15" s="11"/>
      <c r="G15" s="12"/>
      <c r="L15" s="496" t="s">
        <v>553</v>
      </c>
    </row>
    <row r="16" spans="1:12" x14ac:dyDescent="0.25">
      <c r="A16" s="502" t="s">
        <v>554</v>
      </c>
      <c r="B16" s="9"/>
      <c r="C16" s="10"/>
      <c r="D16" s="697"/>
      <c r="E16" s="9"/>
      <c r="F16" s="11"/>
      <c r="G16" s="12"/>
      <c r="L16" s="496" t="s">
        <v>555</v>
      </c>
    </row>
    <row r="17" spans="1:12" x14ac:dyDescent="0.25">
      <c r="A17" s="502" t="s">
        <v>556</v>
      </c>
      <c r="B17" s="9"/>
      <c r="C17" s="10"/>
      <c r="D17" s="697"/>
      <c r="E17" s="9"/>
      <c r="F17" s="11"/>
      <c r="G17" s="12"/>
      <c r="L17" s="496" t="s">
        <v>557</v>
      </c>
    </row>
    <row r="18" spans="1:12" x14ac:dyDescent="0.25">
      <c r="A18" s="502" t="s">
        <v>558</v>
      </c>
      <c r="B18" s="9"/>
      <c r="C18" s="10"/>
      <c r="D18" s="697"/>
      <c r="E18" s="9"/>
      <c r="F18" s="11"/>
      <c r="G18" s="12"/>
      <c r="L18" s="496" t="s">
        <v>559</v>
      </c>
    </row>
    <row r="19" spans="1:12" x14ac:dyDescent="0.25">
      <c r="A19" s="502" t="s">
        <v>560</v>
      </c>
      <c r="B19" s="9"/>
      <c r="C19" s="10"/>
      <c r="D19" s="697"/>
      <c r="E19" s="9"/>
      <c r="F19" s="11"/>
      <c r="G19" s="12"/>
      <c r="L19" s="496" t="s">
        <v>561</v>
      </c>
    </row>
    <row r="20" spans="1:12" x14ac:dyDescent="0.25">
      <c r="A20" s="502" t="s">
        <v>562</v>
      </c>
      <c r="B20" s="9"/>
      <c r="C20" s="10"/>
      <c r="D20" s="697"/>
      <c r="E20" s="9"/>
      <c r="F20" s="11"/>
      <c r="G20" s="12"/>
      <c r="L20" s="496" t="s">
        <v>563</v>
      </c>
    </row>
    <row r="21" spans="1:12" x14ac:dyDescent="0.25">
      <c r="A21" s="502" t="s">
        <v>564</v>
      </c>
      <c r="B21" s="9"/>
      <c r="C21" s="10"/>
      <c r="D21" s="697"/>
      <c r="E21" s="9"/>
      <c r="F21" s="11"/>
      <c r="G21" s="12"/>
      <c r="L21" s="496" t="s">
        <v>565</v>
      </c>
    </row>
    <row r="22" spans="1:12" x14ac:dyDescent="0.25">
      <c r="A22" s="502" t="s">
        <v>566</v>
      </c>
      <c r="B22" s="9"/>
      <c r="C22" s="10"/>
      <c r="D22" s="697"/>
      <c r="E22" s="9"/>
      <c r="F22" s="11"/>
      <c r="G22" s="12"/>
      <c r="L22" s="496" t="s">
        <v>567</v>
      </c>
    </row>
    <row r="23" spans="1:12" x14ac:dyDescent="0.25">
      <c r="A23" s="502" t="s">
        <v>568</v>
      </c>
      <c r="B23" s="9"/>
      <c r="C23" s="10"/>
      <c r="D23" s="697"/>
      <c r="E23" s="9"/>
      <c r="F23" s="11"/>
      <c r="G23" s="12"/>
      <c r="L23" s="496" t="s">
        <v>569</v>
      </c>
    </row>
    <row r="24" spans="1:12" x14ac:dyDescent="0.25">
      <c r="A24" s="502" t="s">
        <v>570</v>
      </c>
      <c r="B24" s="9"/>
      <c r="C24" s="10"/>
      <c r="D24" s="697"/>
      <c r="E24" s="9"/>
      <c r="F24" s="11"/>
      <c r="G24" s="12"/>
      <c r="L24" s="496" t="s">
        <v>571</v>
      </c>
    </row>
    <row r="25" spans="1:12" x14ac:dyDescent="0.25">
      <c r="A25" s="502" t="s">
        <v>572</v>
      </c>
      <c r="B25" s="9"/>
      <c r="C25" s="10"/>
      <c r="D25" s="697"/>
      <c r="E25" s="9"/>
      <c r="F25" s="11"/>
      <c r="G25" s="12"/>
      <c r="L25" s="496" t="s">
        <v>573</v>
      </c>
    </row>
    <row r="26" spans="1:12" x14ac:dyDescent="0.25">
      <c r="A26" s="502" t="s">
        <v>574</v>
      </c>
      <c r="B26" s="9"/>
      <c r="C26" s="10"/>
      <c r="D26" s="697"/>
      <c r="E26" s="9"/>
      <c r="F26" s="11"/>
      <c r="G26" s="12"/>
      <c r="L26" s="496" t="s">
        <v>575</v>
      </c>
    </row>
    <row r="27" spans="1:12" x14ac:dyDescent="0.25">
      <c r="A27" s="502" t="s">
        <v>576</v>
      </c>
      <c r="B27" s="9"/>
      <c r="C27" s="10"/>
      <c r="D27" s="697"/>
      <c r="E27" s="9"/>
      <c r="F27" s="11"/>
      <c r="G27" s="12"/>
      <c r="L27" s="496" t="s">
        <v>577</v>
      </c>
    </row>
    <row r="28" spans="1:12" x14ac:dyDescent="0.25">
      <c r="A28" s="502" t="s">
        <v>578</v>
      </c>
      <c r="B28" s="9"/>
      <c r="C28" s="10"/>
      <c r="D28" s="697"/>
      <c r="E28" s="9"/>
      <c r="F28" s="11"/>
      <c r="G28" s="12"/>
      <c r="L28" s="496" t="s">
        <v>579</v>
      </c>
    </row>
    <row r="29" spans="1:12" x14ac:dyDescent="0.25">
      <c r="A29" s="502" t="s">
        <v>580</v>
      </c>
      <c r="B29" s="9"/>
      <c r="C29" s="10"/>
      <c r="D29" s="697"/>
      <c r="E29" s="9"/>
      <c r="F29" s="11"/>
      <c r="G29" s="12"/>
      <c r="L29" s="496" t="s">
        <v>581</v>
      </c>
    </row>
    <row r="30" spans="1:12" x14ac:dyDescent="0.25">
      <c r="A30" s="502" t="s">
        <v>582</v>
      </c>
      <c r="B30" s="9"/>
      <c r="C30" s="10"/>
      <c r="D30" s="697"/>
      <c r="E30" s="9"/>
      <c r="F30" s="11"/>
      <c r="G30" s="12"/>
      <c r="L30" s="496" t="s">
        <v>583</v>
      </c>
    </row>
    <row r="31" spans="1:12" x14ac:dyDescent="0.25">
      <c r="A31" s="502" t="s">
        <v>584</v>
      </c>
      <c r="B31" s="9"/>
      <c r="C31" s="10"/>
      <c r="D31" s="697"/>
      <c r="E31" s="9"/>
      <c r="F31" s="11"/>
      <c r="G31" s="12"/>
      <c r="L31" s="496" t="s">
        <v>585</v>
      </c>
    </row>
    <row r="32" spans="1:12" x14ac:dyDescent="0.25">
      <c r="A32" s="502" t="s">
        <v>586</v>
      </c>
      <c r="B32" s="9"/>
      <c r="C32" s="10"/>
      <c r="D32" s="697"/>
      <c r="E32" s="9"/>
      <c r="F32" s="11"/>
      <c r="G32" s="12"/>
      <c r="L32" s="496" t="s">
        <v>587</v>
      </c>
    </row>
    <row r="33" spans="1:12" x14ac:dyDescent="0.25">
      <c r="A33" s="502" t="s">
        <v>588</v>
      </c>
      <c r="B33" s="9"/>
      <c r="C33" s="10"/>
      <c r="D33" s="697"/>
      <c r="E33" s="9"/>
      <c r="F33" s="11"/>
      <c r="G33" s="12"/>
      <c r="L33" s="496" t="s">
        <v>589</v>
      </c>
    </row>
    <row r="34" spans="1:12" x14ac:dyDescent="0.25">
      <c r="A34" s="502" t="s">
        <v>590</v>
      </c>
      <c r="B34" s="9"/>
      <c r="C34" s="10"/>
      <c r="D34" s="697"/>
      <c r="E34" s="9"/>
      <c r="F34" s="11"/>
      <c r="G34" s="12"/>
      <c r="L34" s="496" t="s">
        <v>591</v>
      </c>
    </row>
    <row r="35" spans="1:12" hidden="1" x14ac:dyDescent="0.25">
      <c r="A35" s="502" t="s">
        <v>592</v>
      </c>
      <c r="B35" s="502"/>
      <c r="C35" s="504"/>
      <c r="D35" s="505"/>
      <c r="E35" s="502"/>
      <c r="F35" s="506"/>
      <c r="G35" s="507"/>
      <c r="L35" s="496" t="s">
        <v>593</v>
      </c>
    </row>
    <row r="36" spans="1:12" hidden="1" x14ac:dyDescent="0.25">
      <c r="A36" s="502" t="s">
        <v>594</v>
      </c>
      <c r="B36" s="502"/>
      <c r="C36" s="504"/>
      <c r="D36" s="505"/>
      <c r="E36" s="502"/>
      <c r="F36" s="506"/>
      <c r="G36" s="507"/>
      <c r="L36" s="496" t="s">
        <v>595</v>
      </c>
    </row>
    <row r="37" spans="1:12" hidden="1" x14ac:dyDescent="0.25">
      <c r="A37" s="502" t="s">
        <v>596</v>
      </c>
      <c r="B37" s="502"/>
      <c r="C37" s="504"/>
      <c r="D37" s="505"/>
      <c r="E37" s="502"/>
      <c r="F37" s="506"/>
      <c r="G37" s="507"/>
      <c r="L37" s="496" t="s">
        <v>597</v>
      </c>
    </row>
    <row r="38" spans="1:12" hidden="1" x14ac:dyDescent="0.25">
      <c r="A38" s="502" t="s">
        <v>598</v>
      </c>
      <c r="B38" s="502"/>
      <c r="C38" s="504"/>
      <c r="D38" s="505"/>
      <c r="E38" s="502"/>
      <c r="F38" s="506"/>
      <c r="G38" s="507"/>
      <c r="L38" s="496" t="s">
        <v>599</v>
      </c>
    </row>
    <row r="39" spans="1:12" hidden="1" x14ac:dyDescent="0.25">
      <c r="A39" s="502" t="s">
        <v>600</v>
      </c>
      <c r="B39" s="502"/>
      <c r="C39" s="504"/>
      <c r="D39" s="505"/>
      <c r="E39" s="502"/>
      <c r="F39" s="506"/>
      <c r="G39" s="507"/>
      <c r="L39" s="496" t="s">
        <v>601</v>
      </c>
    </row>
    <row r="40" spans="1:12" hidden="1" x14ac:dyDescent="0.25">
      <c r="A40" s="502" t="s">
        <v>602</v>
      </c>
      <c r="B40" s="502"/>
      <c r="C40" s="504"/>
      <c r="D40" s="505"/>
      <c r="E40" s="502"/>
      <c r="F40" s="506"/>
      <c r="G40" s="507"/>
      <c r="L40" s="496" t="s">
        <v>603</v>
      </c>
    </row>
    <row r="41" spans="1:12" hidden="1" x14ac:dyDescent="0.25">
      <c r="A41" s="502" t="s">
        <v>604</v>
      </c>
      <c r="B41" s="502"/>
      <c r="C41" s="504"/>
      <c r="D41" s="505"/>
      <c r="E41" s="502"/>
      <c r="F41" s="506"/>
      <c r="G41" s="507"/>
      <c r="L41" s="496" t="s">
        <v>605</v>
      </c>
    </row>
    <row r="42" spans="1:12" hidden="1" x14ac:dyDescent="0.25">
      <c r="A42" s="502" t="s">
        <v>606</v>
      </c>
      <c r="B42" s="502"/>
      <c r="C42" s="504"/>
      <c r="D42" s="505"/>
      <c r="E42" s="502"/>
      <c r="F42" s="506"/>
      <c r="G42" s="507"/>
      <c r="L42" s="496" t="s">
        <v>607</v>
      </c>
    </row>
    <row r="43" spans="1:12" hidden="1" x14ac:dyDescent="0.25">
      <c r="A43" s="502" t="s">
        <v>608</v>
      </c>
      <c r="B43" s="502"/>
      <c r="C43" s="504"/>
      <c r="D43" s="505"/>
      <c r="E43" s="502"/>
      <c r="F43" s="506"/>
      <c r="G43" s="507"/>
      <c r="L43" s="496" t="s">
        <v>609</v>
      </c>
    </row>
    <row r="44" spans="1:12" hidden="1" x14ac:dyDescent="0.25">
      <c r="A44" s="502" t="s">
        <v>610</v>
      </c>
      <c r="B44" s="502"/>
      <c r="C44" s="504"/>
      <c r="D44" s="505"/>
      <c r="E44" s="502"/>
      <c r="F44" s="506"/>
      <c r="G44" s="507"/>
      <c r="L44" s="496" t="s">
        <v>611</v>
      </c>
    </row>
    <row r="45" spans="1:12" hidden="1" x14ac:dyDescent="0.25">
      <c r="A45" s="502" t="s">
        <v>612</v>
      </c>
      <c r="B45" s="502"/>
      <c r="C45" s="504"/>
      <c r="D45" s="505"/>
      <c r="E45" s="502"/>
      <c r="F45" s="506"/>
      <c r="G45" s="507"/>
      <c r="L45" s="496" t="s">
        <v>613</v>
      </c>
    </row>
    <row r="46" spans="1:12" hidden="1" x14ac:dyDescent="0.25">
      <c r="A46" s="502" t="s">
        <v>614</v>
      </c>
      <c r="B46" s="502"/>
      <c r="C46" s="504"/>
      <c r="D46" s="505"/>
      <c r="E46" s="502"/>
      <c r="F46" s="506"/>
      <c r="G46" s="507"/>
      <c r="L46" s="496" t="s">
        <v>615</v>
      </c>
    </row>
    <row r="47" spans="1:12" hidden="1" x14ac:dyDescent="0.25">
      <c r="A47" s="502" t="s">
        <v>616</v>
      </c>
      <c r="B47" s="502"/>
      <c r="C47" s="504"/>
      <c r="D47" s="505"/>
      <c r="E47" s="502"/>
      <c r="F47" s="506"/>
      <c r="G47" s="507"/>
      <c r="L47" s="496" t="s">
        <v>617</v>
      </c>
    </row>
    <row r="48" spans="1:12" hidden="1" x14ac:dyDescent="0.25">
      <c r="A48" s="502" t="s">
        <v>618</v>
      </c>
      <c r="B48" s="502"/>
      <c r="C48" s="504"/>
      <c r="D48" s="505"/>
      <c r="E48" s="502"/>
      <c r="F48" s="506"/>
      <c r="G48" s="507"/>
      <c r="L48" s="496" t="s">
        <v>619</v>
      </c>
    </row>
    <row r="49" spans="1:12" hidden="1" x14ac:dyDescent="0.25">
      <c r="A49" s="502" t="s">
        <v>620</v>
      </c>
      <c r="B49" s="502"/>
      <c r="C49" s="504"/>
      <c r="D49" s="505"/>
      <c r="E49" s="502"/>
      <c r="F49" s="506"/>
      <c r="G49" s="507"/>
      <c r="L49" s="496" t="s">
        <v>621</v>
      </c>
    </row>
    <row r="50" spans="1:12" hidden="1" x14ac:dyDescent="0.25">
      <c r="A50" s="502" t="s">
        <v>622</v>
      </c>
      <c r="B50" s="502"/>
      <c r="C50" s="504"/>
      <c r="D50" s="505"/>
      <c r="E50" s="502"/>
      <c r="F50" s="506"/>
      <c r="G50" s="507"/>
      <c r="L50" s="496" t="s">
        <v>623</v>
      </c>
    </row>
    <row r="51" spans="1:12" hidden="1" x14ac:dyDescent="0.25">
      <c r="A51" s="502" t="s">
        <v>624</v>
      </c>
      <c r="B51" s="502"/>
      <c r="C51" s="504"/>
      <c r="D51" s="505"/>
      <c r="E51" s="502"/>
      <c r="F51" s="506"/>
      <c r="G51" s="507"/>
      <c r="L51" s="496" t="s">
        <v>625</v>
      </c>
    </row>
    <row r="52" spans="1:12" hidden="1" x14ac:dyDescent="0.25">
      <c r="A52" s="502" t="s">
        <v>626</v>
      </c>
      <c r="B52" s="502"/>
      <c r="C52" s="504"/>
      <c r="D52" s="505"/>
      <c r="E52" s="502"/>
      <c r="F52" s="506"/>
      <c r="G52" s="507"/>
      <c r="L52" s="496" t="s">
        <v>627</v>
      </c>
    </row>
    <row r="53" spans="1:12" hidden="1" x14ac:dyDescent="0.25">
      <c r="A53" s="502" t="s">
        <v>628</v>
      </c>
      <c r="B53" s="502"/>
      <c r="C53" s="504"/>
      <c r="D53" s="505"/>
      <c r="E53" s="502"/>
      <c r="F53" s="506"/>
      <c r="G53" s="507"/>
      <c r="L53" s="496" t="s">
        <v>629</v>
      </c>
    </row>
    <row r="54" spans="1:12" hidden="1" x14ac:dyDescent="0.25">
      <c r="A54" s="502" t="s">
        <v>630</v>
      </c>
      <c r="B54" s="502"/>
      <c r="C54" s="504"/>
      <c r="D54" s="505"/>
      <c r="E54" s="502"/>
      <c r="F54" s="506"/>
      <c r="G54" s="507"/>
      <c r="L54" s="496" t="s">
        <v>631</v>
      </c>
    </row>
    <row r="55" spans="1:12" hidden="1" x14ac:dyDescent="0.25">
      <c r="A55" s="502" t="s">
        <v>632</v>
      </c>
      <c r="B55" s="502"/>
      <c r="C55" s="504"/>
      <c r="D55" s="505"/>
      <c r="E55" s="502"/>
      <c r="F55" s="506"/>
      <c r="G55" s="507"/>
      <c r="L55" s="496" t="s">
        <v>633</v>
      </c>
    </row>
    <row r="56" spans="1:12" hidden="1" x14ac:dyDescent="0.25">
      <c r="A56" s="502" t="s">
        <v>634</v>
      </c>
      <c r="B56" s="502"/>
      <c r="C56" s="504"/>
      <c r="D56" s="505"/>
      <c r="E56" s="502"/>
      <c r="F56" s="506"/>
      <c r="G56" s="507"/>
      <c r="L56" s="496" t="s">
        <v>635</v>
      </c>
    </row>
    <row r="57" spans="1:12" hidden="1" x14ac:dyDescent="0.25">
      <c r="A57" s="502" t="s">
        <v>636</v>
      </c>
      <c r="B57" s="502"/>
      <c r="C57" s="504"/>
      <c r="D57" s="505"/>
      <c r="E57" s="502"/>
      <c r="F57" s="506"/>
      <c r="G57" s="507"/>
      <c r="L57" s="496" t="s">
        <v>637</v>
      </c>
    </row>
    <row r="58" spans="1:12" hidden="1" x14ac:dyDescent="0.25">
      <c r="A58" s="502" t="s">
        <v>638</v>
      </c>
      <c r="B58" s="502"/>
      <c r="C58" s="504"/>
      <c r="D58" s="505"/>
      <c r="E58" s="502"/>
      <c r="F58" s="506"/>
      <c r="G58" s="507"/>
      <c r="L58" s="496" t="s">
        <v>639</v>
      </c>
    </row>
    <row r="59" spans="1:12" hidden="1" x14ac:dyDescent="0.25">
      <c r="A59" s="502" t="s">
        <v>640</v>
      </c>
      <c r="B59" s="502"/>
      <c r="C59" s="504"/>
      <c r="D59" s="505"/>
      <c r="E59" s="502"/>
      <c r="F59" s="506"/>
      <c r="G59" s="507"/>
      <c r="L59" s="496" t="s">
        <v>641</v>
      </c>
    </row>
    <row r="60" spans="1:12" hidden="1" x14ac:dyDescent="0.25">
      <c r="A60" s="502" t="s">
        <v>642</v>
      </c>
      <c r="B60" s="502"/>
      <c r="C60" s="504"/>
      <c r="D60" s="505"/>
      <c r="E60" s="502"/>
      <c r="F60" s="506"/>
      <c r="G60" s="507"/>
      <c r="L60" s="496" t="s">
        <v>643</v>
      </c>
    </row>
    <row r="61" spans="1:12" hidden="1" x14ac:dyDescent="0.25">
      <c r="A61" s="502" t="s">
        <v>644</v>
      </c>
      <c r="B61" s="502"/>
      <c r="C61" s="504"/>
      <c r="D61" s="505"/>
      <c r="E61" s="502"/>
      <c r="F61" s="506"/>
      <c r="G61" s="507"/>
      <c r="L61" s="496" t="s">
        <v>645</v>
      </c>
    </row>
    <row r="62" spans="1:12" hidden="1" x14ac:dyDescent="0.25">
      <c r="A62" s="502" t="s">
        <v>646</v>
      </c>
      <c r="B62" s="502"/>
      <c r="C62" s="504"/>
      <c r="D62" s="505"/>
      <c r="E62" s="502"/>
      <c r="F62" s="506"/>
      <c r="G62" s="507"/>
      <c r="L62" s="496" t="s">
        <v>647</v>
      </c>
    </row>
    <row r="63" spans="1:12" hidden="1" x14ac:dyDescent="0.25">
      <c r="A63" s="502" t="s">
        <v>648</v>
      </c>
      <c r="B63" s="502"/>
      <c r="C63" s="504"/>
      <c r="D63" s="505"/>
      <c r="E63" s="502"/>
      <c r="F63" s="506"/>
      <c r="G63" s="507"/>
      <c r="L63" s="496" t="s">
        <v>649</v>
      </c>
    </row>
    <row r="64" spans="1:12" hidden="1" x14ac:dyDescent="0.25">
      <c r="A64" s="502" t="s">
        <v>650</v>
      </c>
      <c r="B64" s="502"/>
      <c r="C64" s="504"/>
      <c r="D64" s="505"/>
      <c r="E64" s="502"/>
      <c r="F64" s="506"/>
      <c r="G64" s="507"/>
      <c r="L64" s="496" t="s">
        <v>651</v>
      </c>
    </row>
    <row r="65" spans="1:12" hidden="1" x14ac:dyDescent="0.25">
      <c r="A65" s="502" t="s">
        <v>652</v>
      </c>
      <c r="B65" s="502"/>
      <c r="C65" s="504"/>
      <c r="D65" s="505"/>
      <c r="E65" s="502"/>
      <c r="F65" s="506"/>
      <c r="G65" s="507"/>
      <c r="L65" s="496" t="s">
        <v>653</v>
      </c>
    </row>
    <row r="66" spans="1:12" hidden="1" x14ac:dyDescent="0.25">
      <c r="A66" s="502" t="s">
        <v>654</v>
      </c>
      <c r="B66" s="502"/>
      <c r="C66" s="504"/>
      <c r="D66" s="505"/>
      <c r="E66" s="502"/>
      <c r="F66" s="506"/>
      <c r="G66" s="507"/>
      <c r="L66" s="496" t="s">
        <v>655</v>
      </c>
    </row>
    <row r="67" spans="1:12" hidden="1" x14ac:dyDescent="0.25">
      <c r="A67" s="502" t="s">
        <v>656</v>
      </c>
      <c r="B67" s="502"/>
      <c r="C67" s="504"/>
      <c r="D67" s="505"/>
      <c r="E67" s="502"/>
      <c r="F67" s="506"/>
      <c r="G67" s="507"/>
      <c r="L67" s="496" t="s">
        <v>657</v>
      </c>
    </row>
    <row r="68" spans="1:12" hidden="1" x14ac:dyDescent="0.25">
      <c r="A68" s="502" t="s">
        <v>658</v>
      </c>
      <c r="B68" s="502"/>
      <c r="C68" s="504"/>
      <c r="D68" s="505"/>
      <c r="E68" s="502"/>
      <c r="F68" s="506"/>
      <c r="G68" s="507"/>
      <c r="L68" s="496" t="s">
        <v>659</v>
      </c>
    </row>
    <row r="69" spans="1:12" hidden="1" x14ac:dyDescent="0.25">
      <c r="A69" s="502" t="s">
        <v>660</v>
      </c>
      <c r="B69" s="502"/>
      <c r="C69" s="504"/>
      <c r="D69" s="505"/>
      <c r="E69" s="502"/>
      <c r="F69" s="506"/>
      <c r="G69" s="507"/>
      <c r="L69" s="496" t="s">
        <v>661</v>
      </c>
    </row>
    <row r="70" spans="1:12" hidden="1" x14ac:dyDescent="0.25">
      <c r="A70" s="502" t="s">
        <v>662</v>
      </c>
      <c r="B70" s="502"/>
      <c r="C70" s="504"/>
      <c r="D70" s="505"/>
      <c r="E70" s="502"/>
      <c r="F70" s="506"/>
      <c r="G70" s="507"/>
      <c r="L70" s="496" t="s">
        <v>663</v>
      </c>
    </row>
    <row r="71" spans="1:12" hidden="1" x14ac:dyDescent="0.25">
      <c r="A71" s="502" t="s">
        <v>664</v>
      </c>
      <c r="B71" s="502"/>
      <c r="C71" s="504"/>
      <c r="D71" s="505"/>
      <c r="E71" s="502"/>
      <c r="F71" s="506"/>
      <c r="G71" s="507"/>
      <c r="L71" s="496" t="s">
        <v>665</v>
      </c>
    </row>
    <row r="72" spans="1:12" hidden="1" x14ac:dyDescent="0.25">
      <c r="A72" s="502" t="s">
        <v>666</v>
      </c>
      <c r="B72" s="502"/>
      <c r="C72" s="504"/>
      <c r="D72" s="505"/>
      <c r="E72" s="502"/>
      <c r="F72" s="506"/>
      <c r="G72" s="507"/>
      <c r="L72" s="496" t="s">
        <v>667</v>
      </c>
    </row>
    <row r="73" spans="1:12" hidden="1" x14ac:dyDescent="0.25">
      <c r="A73" s="502" t="s">
        <v>668</v>
      </c>
      <c r="B73" s="502"/>
      <c r="C73" s="504"/>
      <c r="D73" s="505"/>
      <c r="E73" s="502"/>
      <c r="F73" s="506"/>
      <c r="G73" s="507"/>
      <c r="L73" s="496" t="s">
        <v>669</v>
      </c>
    </row>
    <row r="74" spans="1:12" hidden="1" x14ac:dyDescent="0.25">
      <c r="A74" s="502" t="s">
        <v>670</v>
      </c>
      <c r="B74" s="502"/>
      <c r="C74" s="504"/>
      <c r="D74" s="505"/>
      <c r="E74" s="502"/>
      <c r="F74" s="506"/>
      <c r="G74" s="507"/>
      <c r="L74" s="496" t="s">
        <v>671</v>
      </c>
    </row>
    <row r="75" spans="1:12" hidden="1" x14ac:dyDescent="0.25">
      <c r="A75" s="502" t="s">
        <v>672</v>
      </c>
      <c r="B75" s="502"/>
      <c r="C75" s="504"/>
      <c r="D75" s="505"/>
      <c r="E75" s="502"/>
      <c r="F75" s="506"/>
      <c r="G75" s="507"/>
      <c r="L75" s="496" t="s">
        <v>673</v>
      </c>
    </row>
    <row r="76" spans="1:12" hidden="1" x14ac:dyDescent="0.25">
      <c r="A76" s="502" t="s">
        <v>674</v>
      </c>
      <c r="B76" s="502"/>
      <c r="C76" s="504"/>
      <c r="D76" s="505"/>
      <c r="E76" s="502"/>
      <c r="F76" s="506"/>
      <c r="G76" s="507"/>
      <c r="L76" s="496" t="s">
        <v>675</v>
      </c>
    </row>
    <row r="77" spans="1:12" hidden="1" x14ac:dyDescent="0.25">
      <c r="A77" s="502" t="s">
        <v>676</v>
      </c>
      <c r="B77" s="502"/>
      <c r="C77" s="504"/>
      <c r="D77" s="505"/>
      <c r="E77" s="502"/>
      <c r="F77" s="506"/>
      <c r="G77" s="507"/>
      <c r="L77" s="496" t="s">
        <v>677</v>
      </c>
    </row>
    <row r="78" spans="1:12" hidden="1" x14ac:dyDescent="0.25">
      <c r="A78" s="502" t="s">
        <v>678</v>
      </c>
      <c r="B78" s="502"/>
      <c r="C78" s="504"/>
      <c r="D78" s="505"/>
      <c r="E78" s="502"/>
      <c r="F78" s="506"/>
      <c r="G78" s="507"/>
      <c r="L78" s="496" t="s">
        <v>679</v>
      </c>
    </row>
    <row r="79" spans="1:12" hidden="1" x14ac:dyDescent="0.25">
      <c r="A79" s="502" t="s">
        <v>680</v>
      </c>
      <c r="B79" s="502"/>
      <c r="C79" s="504"/>
      <c r="D79" s="505"/>
      <c r="E79" s="502"/>
      <c r="F79" s="506"/>
      <c r="G79" s="507"/>
      <c r="L79" s="496" t="s">
        <v>681</v>
      </c>
    </row>
    <row r="80" spans="1:12" hidden="1" x14ac:dyDescent="0.25">
      <c r="A80" s="502" t="s">
        <v>682</v>
      </c>
      <c r="B80" s="502"/>
      <c r="C80" s="504"/>
      <c r="D80" s="505"/>
      <c r="E80" s="502"/>
      <c r="F80" s="506"/>
      <c r="G80" s="507"/>
      <c r="L80" s="496" t="s">
        <v>683</v>
      </c>
    </row>
    <row r="81" spans="1:12" hidden="1" x14ac:dyDescent="0.25">
      <c r="A81" s="502" t="s">
        <v>684</v>
      </c>
      <c r="B81" s="502"/>
      <c r="C81" s="504"/>
      <c r="D81" s="505"/>
      <c r="E81" s="502"/>
      <c r="F81" s="506"/>
      <c r="G81" s="507"/>
      <c r="L81" s="496" t="s">
        <v>685</v>
      </c>
    </row>
    <row r="82" spans="1:12" hidden="1" x14ac:dyDescent="0.25">
      <c r="A82" s="502" t="s">
        <v>686</v>
      </c>
      <c r="B82" s="502"/>
      <c r="C82" s="504"/>
      <c r="D82" s="505"/>
      <c r="E82" s="502"/>
      <c r="F82" s="506"/>
      <c r="G82" s="507"/>
      <c r="L82" s="496" t="s">
        <v>687</v>
      </c>
    </row>
    <row r="83" spans="1:12" hidden="1" x14ac:dyDescent="0.25">
      <c r="A83" s="502" t="s">
        <v>688</v>
      </c>
      <c r="B83" s="502"/>
      <c r="C83" s="504"/>
      <c r="D83" s="505"/>
      <c r="E83" s="502"/>
      <c r="F83" s="506"/>
      <c r="G83" s="507"/>
      <c r="L83" s="496" t="s">
        <v>689</v>
      </c>
    </row>
    <row r="84" spans="1:12" hidden="1" x14ac:dyDescent="0.25">
      <c r="A84" s="502" t="s">
        <v>690</v>
      </c>
      <c r="B84" s="502"/>
      <c r="C84" s="504"/>
      <c r="D84" s="505"/>
      <c r="E84" s="502"/>
      <c r="F84" s="506"/>
      <c r="G84" s="507"/>
      <c r="L84" s="496" t="s">
        <v>691</v>
      </c>
    </row>
    <row r="85" spans="1:12" hidden="1" x14ac:dyDescent="0.25">
      <c r="A85" s="502" t="s">
        <v>692</v>
      </c>
      <c r="B85" s="502"/>
      <c r="C85" s="504"/>
      <c r="D85" s="505"/>
      <c r="E85" s="502"/>
      <c r="F85" s="506"/>
      <c r="G85" s="507"/>
      <c r="L85" s="496" t="s">
        <v>693</v>
      </c>
    </row>
    <row r="86" spans="1:12" hidden="1" x14ac:dyDescent="0.25">
      <c r="A86" s="502" t="s">
        <v>694</v>
      </c>
      <c r="B86" s="502"/>
      <c r="C86" s="504"/>
      <c r="D86" s="505"/>
      <c r="E86" s="502"/>
      <c r="F86" s="506"/>
      <c r="G86" s="507"/>
      <c r="L86" s="496" t="s">
        <v>695</v>
      </c>
    </row>
    <row r="87" spans="1:12" hidden="1" x14ac:dyDescent="0.25">
      <c r="A87" s="502" t="s">
        <v>696</v>
      </c>
      <c r="B87" s="502"/>
      <c r="C87" s="504"/>
      <c r="D87" s="505"/>
      <c r="E87" s="502"/>
      <c r="F87" s="506"/>
      <c r="G87" s="507"/>
      <c r="L87" s="496" t="s">
        <v>697</v>
      </c>
    </row>
    <row r="88" spans="1:12" hidden="1" x14ac:dyDescent="0.25">
      <c r="A88" s="502" t="s">
        <v>698</v>
      </c>
      <c r="B88" s="502"/>
      <c r="C88" s="504"/>
      <c r="D88" s="505"/>
      <c r="E88" s="502"/>
      <c r="F88" s="506"/>
      <c r="G88" s="507"/>
      <c r="L88" s="496" t="s">
        <v>699</v>
      </c>
    </row>
    <row r="89" spans="1:12" hidden="1" x14ac:dyDescent="0.25">
      <c r="A89" s="502" t="s">
        <v>700</v>
      </c>
      <c r="B89" s="502"/>
      <c r="C89" s="504"/>
      <c r="D89" s="505"/>
      <c r="E89" s="502"/>
      <c r="F89" s="506"/>
      <c r="G89" s="507"/>
      <c r="L89" s="496" t="s">
        <v>701</v>
      </c>
    </row>
    <row r="90" spans="1:12" hidden="1" x14ac:dyDescent="0.25">
      <c r="A90" s="502" t="s">
        <v>702</v>
      </c>
      <c r="B90" s="502"/>
      <c r="C90" s="504"/>
      <c r="D90" s="505"/>
      <c r="E90" s="502"/>
      <c r="F90" s="506"/>
      <c r="G90" s="507"/>
      <c r="L90" s="496" t="s">
        <v>703</v>
      </c>
    </row>
    <row r="91" spans="1:12" hidden="1" x14ac:dyDescent="0.25">
      <c r="A91" s="502" t="s">
        <v>704</v>
      </c>
      <c r="B91" s="502"/>
      <c r="C91" s="504"/>
      <c r="D91" s="505"/>
      <c r="E91" s="502"/>
      <c r="F91" s="506"/>
      <c r="G91" s="507"/>
      <c r="L91" s="496" t="s">
        <v>705</v>
      </c>
    </row>
    <row r="92" spans="1:12" hidden="1" x14ac:dyDescent="0.25">
      <c r="A92" s="502" t="s">
        <v>706</v>
      </c>
      <c r="B92" s="502"/>
      <c r="C92" s="504"/>
      <c r="D92" s="505"/>
      <c r="E92" s="502"/>
      <c r="F92" s="506"/>
      <c r="G92" s="507"/>
      <c r="L92" s="496" t="s">
        <v>707</v>
      </c>
    </row>
    <row r="93" spans="1:12" hidden="1" x14ac:dyDescent="0.25">
      <c r="A93" s="502" t="s">
        <v>708</v>
      </c>
      <c r="B93" s="502"/>
      <c r="C93" s="504"/>
      <c r="D93" s="505"/>
      <c r="E93" s="502"/>
      <c r="F93" s="506"/>
      <c r="G93" s="507"/>
      <c r="L93" s="496" t="s">
        <v>709</v>
      </c>
    </row>
    <row r="94" spans="1:12" hidden="1" x14ac:dyDescent="0.25">
      <c r="A94" s="502" t="s">
        <v>710</v>
      </c>
      <c r="B94" s="502"/>
      <c r="C94" s="504"/>
      <c r="D94" s="505"/>
      <c r="E94" s="502"/>
      <c r="F94" s="506"/>
      <c r="G94" s="507"/>
      <c r="L94" s="496" t="s">
        <v>711</v>
      </c>
    </row>
    <row r="95" spans="1:12" hidden="1" x14ac:dyDescent="0.25">
      <c r="A95" s="502" t="s">
        <v>712</v>
      </c>
      <c r="B95" s="502"/>
      <c r="C95" s="504"/>
      <c r="D95" s="505"/>
      <c r="E95" s="502"/>
      <c r="F95" s="506"/>
      <c r="G95" s="507"/>
      <c r="L95" s="496" t="s">
        <v>713</v>
      </c>
    </row>
    <row r="96" spans="1:12" hidden="1" x14ac:dyDescent="0.25">
      <c r="A96" s="502" t="s">
        <v>714</v>
      </c>
      <c r="B96" s="502"/>
      <c r="C96" s="504"/>
      <c r="D96" s="505"/>
      <c r="E96" s="502"/>
      <c r="F96" s="506"/>
      <c r="G96" s="507"/>
      <c r="L96" s="496" t="s">
        <v>715</v>
      </c>
    </row>
    <row r="97" spans="1:12" hidden="1" x14ac:dyDescent="0.25">
      <c r="A97" s="502" t="s">
        <v>716</v>
      </c>
      <c r="B97" s="502"/>
      <c r="C97" s="504"/>
      <c r="D97" s="505"/>
      <c r="E97" s="502"/>
      <c r="F97" s="506"/>
      <c r="G97" s="507"/>
      <c r="L97" s="496" t="s">
        <v>717</v>
      </c>
    </row>
    <row r="98" spans="1:12" hidden="1" x14ac:dyDescent="0.25">
      <c r="A98" s="502" t="s">
        <v>718</v>
      </c>
      <c r="B98" s="502"/>
      <c r="C98" s="504"/>
      <c r="D98" s="505"/>
      <c r="E98" s="502"/>
      <c r="F98" s="506"/>
      <c r="G98" s="507"/>
      <c r="L98" s="496" t="s">
        <v>719</v>
      </c>
    </row>
    <row r="99" spans="1:12" hidden="1" x14ac:dyDescent="0.25">
      <c r="A99" s="502" t="s">
        <v>720</v>
      </c>
      <c r="B99" s="502"/>
      <c r="C99" s="504"/>
      <c r="D99" s="505"/>
      <c r="E99" s="502"/>
      <c r="F99" s="506"/>
      <c r="G99" s="507"/>
      <c r="L99" s="496" t="s">
        <v>721</v>
      </c>
    </row>
  </sheetData>
  <sheetProtection sheet="1" objects="1" scenarios="1"/>
  <mergeCells count="2">
    <mergeCell ref="D4:G4"/>
    <mergeCell ref="D1:E1"/>
  </mergeCells>
  <conditionalFormatting sqref="F10:F24">
    <cfRule type="expression" dxfId="14"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dataValidation allowBlank="1" showInputMessage="1" showErrorMessage="1" prompt="Click on this line for detailed instructions." sqref="A1"/>
    <dataValidation allowBlank="1" showInputMessage="1" showErrorMessage="1" prompt="Enter the 100th (or 200th) day student count." sqref="D10:D99"/>
    <dataValidation type="textLength" operator="equal" allowBlank="1" showInputMessage="1" showErrorMessage="1" error="This cell will only accept entries equal to 9 digits." prompt="This cell will only accept entries equal to 9 digits. This number should not contain any slashes, dashes, etc." sqref="C10:C99">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dataValidation operator="equal" allowBlank="1" showInputMessage="1" showErrorMessage="1" error="This cell will only accept entries equal to 9 digits." sqref="B2 C7"/>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formula1>100</formula1>
      <formula2>999</formula2>
    </dataValidation>
  </dataValidations>
  <hyperlinks>
    <hyperlink ref="A1" location="School_Listing_Tab" display="Charter name"/>
    <hyperlink ref="D1" location="School_Listing_Tab" display="Instructions"/>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7"/>
  <sheetViews>
    <sheetView showGridLines="0" topLeftCell="A4" workbookViewId="0">
      <selection activeCell="A15" sqref="A15"/>
    </sheetView>
  </sheetViews>
  <sheetFormatPr defaultColWidth="9.33203125" defaultRowHeight="63" customHeight="1" x14ac:dyDescent="0.2"/>
  <cols>
    <col min="1" max="1" width="132" customWidth="1"/>
    <col min="2" max="2" width="18.5" customWidth="1"/>
    <col min="3" max="3" width="71" hidden="1" customWidth="1"/>
  </cols>
  <sheetData>
    <row r="1" spans="1:3" ht="30" customHeight="1" x14ac:dyDescent="0.2">
      <c r="A1" s="491"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8" customFormat="1" ht="93" customHeight="1" x14ac:dyDescent="0.2">
      <c r="A2" s="587"/>
      <c r="B2" s="587"/>
      <c r="C2" s="486"/>
    </row>
    <row r="3" spans="1:3" s="8" customFormat="1" ht="112.5" customHeight="1" x14ac:dyDescent="0.2">
      <c r="A3" s="587" t="str">
        <f>IF('Page 2'!J48=0,"",IF(SUM('Page 3'!F26)+SUM('Page 4'!F17)+SUM('Page 5'!H8)+SUM('Page 5'!H30)&gt;'Page 1'!H30,C3,""))</f>
        <v/>
      </c>
      <c r="B3" s="587" t="str">
        <f>IF(A3="","","Restricted revenues-3200 on page 1 are not complete.")</f>
        <v/>
      </c>
      <c r="C3" s="492" t="s">
        <v>1383</v>
      </c>
    </row>
    <row r="4" spans="1:3" s="8" customFormat="1" ht="63" customHeight="1" x14ac:dyDescent="0.2">
      <c r="A4" s="587" t="str">
        <f>IF('Page 2'!J48=0,"",IF('Page 3'!F28&lt;=0,C4,""))</f>
        <v/>
      </c>
      <c r="B4" s="587" t="str">
        <f>IF(A4="","","Classroom Site Project revenue information on page 3 is not complete.")</f>
        <v/>
      </c>
      <c r="C4" s="492" t="s">
        <v>1384</v>
      </c>
    </row>
    <row r="5" spans="1:3" s="8" customFormat="1" ht="78.75" customHeight="1" x14ac:dyDescent="0.2">
      <c r="A5" s="587" t="str">
        <f>IF('Page 2'!J48=0,"",IF('Page 4'!F17&lt;=0,C5,""))</f>
        <v/>
      </c>
      <c r="B5" s="587" t="str">
        <f>IF(A5="","","Instructional Improvement Project revenue on page 4 is not complete.")</f>
        <v/>
      </c>
      <c r="C5" s="492" t="s">
        <v>1385</v>
      </c>
    </row>
    <row r="6" spans="1:3" s="8" customFormat="1" ht="55.5" customHeight="1" x14ac:dyDescent="0.2">
      <c r="A6" s="587" t="str">
        <f>IF('Page 2'!J48=0,"",IF(OR('Page 6'!G15="",'Page 6'!G16="",'Page 6'!G17="",'Page 6'!G18="",'Page 6'!G19=""),C6,""))</f>
        <v/>
      </c>
      <c r="B6" s="587" t="str">
        <f>IF(A6="","","Capital acquisition information on page 6, section C is not complete.")</f>
        <v/>
      </c>
      <c r="C6" s="492" t="s">
        <v>1145</v>
      </c>
    </row>
    <row r="7" spans="1:3" s="8" customFormat="1" ht="48.75" customHeight="1" x14ac:dyDescent="0.2">
      <c r="A7" s="587" t="str">
        <f>IF('Page 2'!J48=0,"",IF(OR('Page 6'!G33&lt;=0,'Page 6'!G35&lt;=0,'Page 6'!G34&lt;=0,'Page 6'!G38&lt;=0),C7,""))</f>
        <v/>
      </c>
      <c r="B7" s="587" t="str">
        <f>IF(A7="","","Current expenses on page 6, section E are not complete.")</f>
        <v/>
      </c>
      <c r="C7" s="492" t="s">
        <v>1146</v>
      </c>
    </row>
    <row r="8" spans="1:3" s="8" customFormat="1" ht="70.5" customHeight="1" x14ac:dyDescent="0.2">
      <c r="A8" s="587" t="str">
        <f>IF('Page 2'!J48=0,"",IF((SUM('Page 2'!J11,'Page 2'!J12,'Page 2'!J13,'Page 2'!J15,'Page 2'!J29,'Page 2'!J30,'Page 2'!J31,'Page 2'!J33))&gt;('Page 6'!G35),C8,""))</f>
        <v/>
      </c>
      <c r="B8" s="587" t="str">
        <f>IF(A8="","","Current administration expense on page 6, section E is not complete.")</f>
        <v/>
      </c>
      <c r="C8" s="492" t="s">
        <v>520</v>
      </c>
    </row>
    <row r="9" spans="1:3" s="8" customFormat="1" ht="39.75" customHeight="1" x14ac:dyDescent="0.2">
      <c r="A9" s="587" t="str">
        <f>IF('Page 2'!J48=0,"",IF(SUM('Page 6'!T6:T8)&lt;=0,C9,""))</f>
        <v/>
      </c>
      <c r="B9" s="587" t="str">
        <f>IF(A9="","","Page 6, section F, lines 1-3 are not complete.")</f>
        <v/>
      </c>
      <c r="C9" s="492" t="s">
        <v>521</v>
      </c>
    </row>
    <row r="10" spans="1:3" s="8" customFormat="1" ht="55.5" customHeight="1" x14ac:dyDescent="0.2">
      <c r="A10" s="587" t="str">
        <f>IF('Page 2'!J48=0,"",IF(SUM('Page 6'!M19:T23)&lt;=0,C10,""))</f>
        <v/>
      </c>
      <c r="B10" s="587" t="str">
        <f>IF(A10="","","Teacher salary information on page 6, section G is not complete.")</f>
        <v/>
      </c>
      <c r="C10" s="492" t="s">
        <v>522</v>
      </c>
    </row>
    <row r="11" spans="1:3" s="8" customFormat="1" ht="50.25" customHeight="1" x14ac:dyDescent="0.2">
      <c r="A11" s="587" t="str">
        <f>IF(SUM('Page 6'!T6:T8)=0,"",IF(AND(((SUM('Page 6'!M19:Q24,'Page 6'!T19:T24)/SUM('Page 6'!T6:T8))&gt;10000),(SUM('Page 6'!M19:Q24,'Page 6'!T19:T24)/SUM('Page 6'!T6:T8))&lt;80000),"",C11))</f>
        <v/>
      </c>
      <c r="B11" s="587" t="str">
        <f>IF(A11="","","Teacher FTE and salary information on page 6, sections F and G is not appropriate.")</f>
        <v/>
      </c>
      <c r="C11" s="492" t="s">
        <v>523</v>
      </c>
    </row>
    <row r="12" spans="1:3" s="8" customFormat="1" ht="57" customHeight="1" x14ac:dyDescent="0.2">
      <c r="A12" s="587" t="str">
        <f>IF('Page 2'!J48=0,"",IF(OR('Page 6'!T29="",'Page 6'!T29&lt;10000),C12,""))</f>
        <v/>
      </c>
      <c r="B12" s="587" t="str">
        <f>IF(A12="","","Average teacher salary information on page 6, section H is not complete.")</f>
        <v/>
      </c>
      <c r="C12" s="692" t="s">
        <v>1376</v>
      </c>
    </row>
    <row r="13" spans="1:3" s="8" customFormat="1" ht="84.75" customHeight="1" x14ac:dyDescent="0.2">
      <c r="A13" s="587" t="str">
        <f>IF('Page 2'!J48=0,"",IF(AND('Page 2'!J37&gt;0,'Page 7'!T23&lt;'Page 2'!J37),C13,""))</f>
        <v/>
      </c>
      <c r="B13" s="587" t="str">
        <f>IF(A13="","","Special education program information on page 7 is not complete.")</f>
        <v/>
      </c>
      <c r="C13" s="492" t="s">
        <v>524</v>
      </c>
    </row>
    <row r="14" spans="1:3" s="8" customFormat="1" ht="84.75" customHeight="1" x14ac:dyDescent="0.2">
      <c r="A14" s="587" t="str">
        <f>IF('Page 2'!J48=0,"",IF(OR('Page 9'!E41="",'Page 9'!E42="",'Page 9'!E43="",'Page 9'!E44="",('Page 9'!K23+'Page 9'!K26+SUM('Page 9'!E33:E36))&lt;&gt;(SUM('Page 9'!E41:E44))),C14,""))</f>
        <v/>
      </c>
      <c r="B14" s="587" t="str">
        <f>IF(A14="","","Property disbursement information on page 9 is not complete.")</f>
        <v/>
      </c>
      <c r="C14" s="492" t="s">
        <v>525</v>
      </c>
    </row>
    <row r="15" spans="1:3" s="8" customFormat="1" ht="90" customHeight="1" x14ac:dyDescent="0.2">
      <c r="A15" s="587"/>
      <c r="B15" s="587" t="str">
        <f>IF(A15="","","NPEFS information on page 9 is not complete.")</f>
        <v/>
      </c>
      <c r="C15" s="492" t="s">
        <v>526</v>
      </c>
    </row>
    <row r="16" spans="1:3" s="8" customFormat="1" ht="41.25" customHeight="1" x14ac:dyDescent="0.2">
      <c r="A16" s="587" t="str">
        <f>IF('Page 2'!J48=0,"",IF(OR('Page 8'!G25="",'Page 8'!H25="",'Page 8'!I25="",'Page 8'!K25="",'Page 8'!M25=""),C16,""))</f>
        <v/>
      </c>
      <c r="B16" s="587" t="str">
        <f>IF(A16="","","COVID-19 information on page 8, line 19 is not complete.")</f>
        <v/>
      </c>
      <c r="C16" s="492" t="s">
        <v>527</v>
      </c>
    </row>
    <row r="17" spans="1:1" ht="43.5" customHeight="1" x14ac:dyDescent="0.2">
      <c r="A17" s="493"/>
    </row>
  </sheetData>
  <sheetProtection sheet="1" formatCells="0" formatColumns="0" formatRows="0"/>
  <printOptions horizontalCentered="1"/>
  <pageMargins left="0.7" right="0.7" top="0.75" bottom="0.75" header="0.3" footer="0.3"/>
  <pageSetup scale="62"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22"/>
  <sheetViews>
    <sheetView showGridLines="0" topLeftCell="B1" zoomScaleNormal="100" workbookViewId="0">
      <selection activeCell="D13" sqref="D13"/>
    </sheetView>
  </sheetViews>
  <sheetFormatPr defaultColWidth="9.6640625" defaultRowHeight="15" x14ac:dyDescent="0.25"/>
  <cols>
    <col min="1" max="4" width="15.5" style="14" customWidth="1"/>
    <col min="5" max="5" width="9.83203125" style="14" customWidth="1"/>
    <col min="6" max="6" width="31.83203125" style="14" customWidth="1"/>
    <col min="7" max="7" width="17.33203125" style="21" customWidth="1"/>
    <col min="8" max="8" width="24.6640625" style="14" bestFit="1" customWidth="1"/>
    <col min="9" max="9" width="22.33203125" style="14" bestFit="1" customWidth="1"/>
    <col min="10" max="10" width="16.33203125" style="14" bestFit="1" customWidth="1"/>
    <col min="11" max="11" width="13.33203125" style="14" bestFit="1" customWidth="1"/>
    <col min="12" max="12" width="9.6640625" style="14" customWidth="1"/>
    <col min="13" max="13" width="58.83203125" style="14" hidden="1" customWidth="1"/>
    <col min="14" max="14" width="55.33203125" style="14" hidden="1" customWidth="1"/>
    <col min="15" max="15" width="45.33203125" style="14" hidden="1" customWidth="1"/>
    <col min="16" max="16" width="90.1640625" style="14" hidden="1" customWidth="1"/>
    <col min="17" max="24" width="9.6640625" style="14" customWidth="1"/>
    <col min="25" max="25" width="21.33203125" style="14" hidden="1" customWidth="1"/>
    <col min="26" max="29" width="9.6640625" style="14" customWidth="1"/>
    <col min="30" max="16384" width="9.6640625" style="14"/>
  </cols>
  <sheetData>
    <row r="1" spans="1:25" ht="48" customHeight="1" x14ac:dyDescent="0.25">
      <c r="A1" s="13" t="s">
        <v>857</v>
      </c>
      <c r="B1" s="13" t="s">
        <v>858</v>
      </c>
      <c r="C1" s="13" t="s">
        <v>859</v>
      </c>
      <c r="D1" s="13" t="s">
        <v>860</v>
      </c>
      <c r="E1" s="13" t="s">
        <v>861</v>
      </c>
      <c r="F1" s="13" t="s">
        <v>862</v>
      </c>
      <c r="G1" s="19" t="s">
        <v>863</v>
      </c>
      <c r="H1" s="13" t="s">
        <v>864</v>
      </c>
      <c r="I1" s="13" t="s">
        <v>865</v>
      </c>
      <c r="J1" s="13" t="s">
        <v>866</v>
      </c>
      <c r="K1" s="13" t="s">
        <v>867</v>
      </c>
      <c r="L1" s="13" t="s">
        <v>868</v>
      </c>
      <c r="M1" s="22" t="s">
        <v>869</v>
      </c>
      <c r="N1" s="22" t="s">
        <v>870</v>
      </c>
      <c r="O1" s="22" t="s">
        <v>871</v>
      </c>
      <c r="P1" s="22" t="s">
        <v>872</v>
      </c>
    </row>
    <row r="2" spans="1:25" ht="14.25" customHeight="1" x14ac:dyDescent="0.25">
      <c r="A2" s="603" t="s">
        <v>873</v>
      </c>
      <c r="B2" s="15"/>
      <c r="C2" s="15"/>
      <c r="D2" s="15"/>
      <c r="E2" s="15" t="s">
        <v>1399</v>
      </c>
      <c r="F2" s="14" t="s">
        <v>1400</v>
      </c>
      <c r="G2" s="20">
        <v>1132524.68</v>
      </c>
      <c r="H2" s="15" t="s">
        <v>876</v>
      </c>
      <c r="I2" s="15" t="s">
        <v>879</v>
      </c>
      <c r="J2" s="15" t="s">
        <v>880</v>
      </c>
      <c r="K2" s="15" t="s">
        <v>877</v>
      </c>
      <c r="L2" s="15">
        <v>101</v>
      </c>
      <c r="Y2" s="14" t="s">
        <v>874</v>
      </c>
    </row>
    <row r="3" spans="1:25" ht="14.25" customHeight="1" x14ac:dyDescent="0.25">
      <c r="A3" s="15"/>
      <c r="B3" s="15"/>
      <c r="C3" s="15"/>
      <c r="D3" s="15"/>
      <c r="E3" s="15" t="s">
        <v>1399</v>
      </c>
      <c r="F3" s="14" t="s">
        <v>1401</v>
      </c>
      <c r="G3" s="20"/>
      <c r="H3" s="15" t="s">
        <v>876</v>
      </c>
      <c r="I3" s="15" t="s">
        <v>879</v>
      </c>
      <c r="J3" s="15" t="s">
        <v>880</v>
      </c>
      <c r="K3" s="15" t="s">
        <v>881</v>
      </c>
      <c r="L3" s="15">
        <v>101</v>
      </c>
      <c r="M3" s="16" t="s">
        <v>875</v>
      </c>
      <c r="N3" s="23" t="s">
        <v>874</v>
      </c>
      <c r="O3" s="23" t="s">
        <v>874</v>
      </c>
      <c r="P3" s="23" t="s">
        <v>874</v>
      </c>
      <c r="Y3" s="14" t="s">
        <v>21</v>
      </c>
    </row>
    <row r="4" spans="1:25" ht="14.25" customHeight="1" x14ac:dyDescent="0.25">
      <c r="A4" s="15"/>
      <c r="B4" s="15"/>
      <c r="C4" s="15"/>
      <c r="D4" s="15"/>
      <c r="E4" s="15" t="s">
        <v>1399</v>
      </c>
      <c r="F4" s="14" t="s">
        <v>1402</v>
      </c>
      <c r="G4" s="20"/>
      <c r="H4" s="15" t="s">
        <v>876</v>
      </c>
      <c r="I4" s="15" t="s">
        <v>879</v>
      </c>
      <c r="J4" s="15" t="s">
        <v>888</v>
      </c>
      <c r="K4" s="15" t="s">
        <v>877</v>
      </c>
      <c r="L4" s="15">
        <v>101</v>
      </c>
      <c r="M4" s="23" t="s">
        <v>876</v>
      </c>
      <c r="N4" s="23" t="s">
        <v>21</v>
      </c>
      <c r="O4" s="23" t="s">
        <v>21</v>
      </c>
      <c r="P4" s="23" t="s">
        <v>877</v>
      </c>
      <c r="Y4" s="14">
        <f>'School listing'!F7</f>
        <v>500</v>
      </c>
    </row>
    <row r="5" spans="1:25" ht="14.25" customHeight="1" x14ac:dyDescent="0.25">
      <c r="A5" s="26"/>
      <c r="B5" s="26"/>
      <c r="C5" s="26"/>
      <c r="D5" s="26"/>
      <c r="E5" s="15" t="s">
        <v>1399</v>
      </c>
      <c r="F5" s="14" t="s">
        <v>1403</v>
      </c>
      <c r="G5" s="20">
        <v>22879.439999999999</v>
      </c>
      <c r="H5" s="15" t="s">
        <v>876</v>
      </c>
      <c r="I5" s="15" t="s">
        <v>879</v>
      </c>
      <c r="J5" s="15" t="s">
        <v>892</v>
      </c>
      <c r="K5" s="15" t="s">
        <v>877</v>
      </c>
      <c r="L5" s="15">
        <v>101</v>
      </c>
      <c r="M5" s="23" t="s">
        <v>878</v>
      </c>
      <c r="N5" s="23" t="s">
        <v>879</v>
      </c>
      <c r="O5" s="23" t="s">
        <v>880</v>
      </c>
      <c r="P5" s="23" t="s">
        <v>881</v>
      </c>
      <c r="Y5" s="14">
        <f>'School listing'!F8</f>
        <v>0</v>
      </c>
    </row>
    <row r="6" spans="1:25" ht="14.25" customHeight="1" x14ac:dyDescent="0.25">
      <c r="A6" s="15"/>
      <c r="B6" s="15"/>
      <c r="C6" s="15"/>
      <c r="D6" s="15"/>
      <c r="E6" s="15" t="s">
        <v>1399</v>
      </c>
      <c r="F6" s="14" t="s">
        <v>1404</v>
      </c>
      <c r="G6" s="20"/>
      <c r="H6" s="15" t="s">
        <v>876</v>
      </c>
      <c r="I6" s="15" t="s">
        <v>883</v>
      </c>
      <c r="J6" s="15" t="s">
        <v>880</v>
      </c>
      <c r="K6" s="15" t="s">
        <v>881</v>
      </c>
      <c r="L6" s="15">
        <v>101</v>
      </c>
      <c r="M6" s="23" t="s">
        <v>882</v>
      </c>
      <c r="N6" s="23" t="s">
        <v>883</v>
      </c>
      <c r="O6" s="23" t="s">
        <v>884</v>
      </c>
      <c r="P6" s="23" t="s">
        <v>885</v>
      </c>
      <c r="Y6" s="14">
        <f>'School listing'!F9</f>
        <v>0</v>
      </c>
    </row>
    <row r="7" spans="1:25" ht="14.25" customHeight="1" x14ac:dyDescent="0.25">
      <c r="A7" s="15"/>
      <c r="B7" s="15"/>
      <c r="C7" s="15"/>
      <c r="D7" s="15"/>
      <c r="E7" s="15" t="s">
        <v>1399</v>
      </c>
      <c r="F7" s="14" t="s">
        <v>1405</v>
      </c>
      <c r="G7" s="20">
        <v>106046.16</v>
      </c>
      <c r="H7" s="15" t="s">
        <v>876</v>
      </c>
      <c r="I7" s="15" t="s">
        <v>883</v>
      </c>
      <c r="J7" s="15" t="s">
        <v>880</v>
      </c>
      <c r="K7" s="15" t="s">
        <v>877</v>
      </c>
      <c r="L7" s="15">
        <v>101</v>
      </c>
      <c r="M7" s="23" t="s">
        <v>886</v>
      </c>
      <c r="N7" s="24" t="s">
        <v>887</v>
      </c>
      <c r="O7" s="23" t="s">
        <v>888</v>
      </c>
      <c r="P7" s="23" t="s">
        <v>889</v>
      </c>
      <c r="Y7" s="14">
        <f>'School listing'!F10</f>
        <v>101</v>
      </c>
    </row>
    <row r="8" spans="1:25" ht="14.25" customHeight="1" x14ac:dyDescent="0.25">
      <c r="A8" s="15"/>
      <c r="B8" s="15"/>
      <c r="C8" s="15"/>
      <c r="D8" s="15"/>
      <c r="E8" s="15" t="s">
        <v>1399</v>
      </c>
      <c r="F8" s="14" t="s">
        <v>1406</v>
      </c>
      <c r="G8" s="20">
        <v>214760</v>
      </c>
      <c r="H8" s="15" t="s">
        <v>876</v>
      </c>
      <c r="I8" s="15" t="s">
        <v>879</v>
      </c>
      <c r="J8" s="15" t="s">
        <v>880</v>
      </c>
      <c r="K8" s="15" t="s">
        <v>877</v>
      </c>
      <c r="L8" s="15">
        <v>101</v>
      </c>
      <c r="M8" s="23" t="s">
        <v>890</v>
      </c>
      <c r="N8" s="24" t="s">
        <v>891</v>
      </c>
      <c r="O8" s="23" t="s">
        <v>892</v>
      </c>
      <c r="P8" s="23" t="s">
        <v>893</v>
      </c>
      <c r="Y8" s="14">
        <f>'School listing'!F11</f>
        <v>102</v>
      </c>
    </row>
    <row r="9" spans="1:25" ht="14.25" customHeight="1" x14ac:dyDescent="0.25">
      <c r="A9" s="15"/>
      <c r="B9" s="15"/>
      <c r="C9" s="18"/>
      <c r="D9" s="15"/>
      <c r="E9" s="15" t="s">
        <v>1399</v>
      </c>
      <c r="F9" s="14" t="s">
        <v>1407</v>
      </c>
      <c r="G9" s="20">
        <v>18706.919999999998</v>
      </c>
      <c r="H9" s="15" t="s">
        <v>876</v>
      </c>
      <c r="I9" s="15" t="s">
        <v>879</v>
      </c>
      <c r="J9" s="15" t="s">
        <v>880</v>
      </c>
      <c r="K9" s="15" t="s">
        <v>881</v>
      </c>
      <c r="L9" s="15">
        <v>101</v>
      </c>
      <c r="M9" s="23" t="s">
        <v>894</v>
      </c>
      <c r="N9" s="24" t="s">
        <v>895</v>
      </c>
      <c r="O9" s="23" t="s">
        <v>896</v>
      </c>
      <c r="P9" s="23" t="s">
        <v>897</v>
      </c>
      <c r="Y9" s="14">
        <f>'School listing'!F12</f>
        <v>103</v>
      </c>
    </row>
    <row r="10" spans="1:25" x14ac:dyDescent="0.25">
      <c r="E10" s="15" t="s">
        <v>1399</v>
      </c>
      <c r="F10" s="14" t="s">
        <v>1408</v>
      </c>
      <c r="G10" s="20"/>
      <c r="H10" s="15" t="s">
        <v>876</v>
      </c>
      <c r="I10" s="15" t="s">
        <v>879</v>
      </c>
      <c r="J10" s="15" t="s">
        <v>888</v>
      </c>
      <c r="K10" s="15" t="s">
        <v>877</v>
      </c>
      <c r="L10" s="15">
        <v>101</v>
      </c>
      <c r="M10" s="23" t="s">
        <v>898</v>
      </c>
      <c r="N10" s="23" t="s">
        <v>899</v>
      </c>
      <c r="O10" s="23" t="s">
        <v>900</v>
      </c>
      <c r="P10" s="23" t="s">
        <v>901</v>
      </c>
      <c r="Y10" s="14">
        <f>'School listing'!F13</f>
        <v>0</v>
      </c>
    </row>
    <row r="11" spans="1:25" x14ac:dyDescent="0.25">
      <c r="E11" s="15" t="s">
        <v>1399</v>
      </c>
      <c r="F11" s="14" t="s">
        <v>1409</v>
      </c>
      <c r="G11" s="20"/>
      <c r="H11" s="15" t="s">
        <v>876</v>
      </c>
      <c r="I11" s="15" t="s">
        <v>879</v>
      </c>
      <c r="J11" s="15" t="s">
        <v>888</v>
      </c>
      <c r="K11" s="15" t="s">
        <v>881</v>
      </c>
      <c r="L11" s="15">
        <v>101</v>
      </c>
      <c r="M11" s="23" t="s">
        <v>902</v>
      </c>
      <c r="N11" s="24" t="s">
        <v>903</v>
      </c>
      <c r="O11" s="23" t="s">
        <v>904</v>
      </c>
      <c r="P11" s="23" t="s">
        <v>905</v>
      </c>
      <c r="Y11" s="14">
        <f>'School listing'!F14</f>
        <v>0</v>
      </c>
    </row>
    <row r="12" spans="1:25" x14ac:dyDescent="0.25">
      <c r="E12" s="15" t="s">
        <v>1399</v>
      </c>
      <c r="F12" s="14" t="s">
        <v>1410</v>
      </c>
      <c r="G12" s="20">
        <v>11700</v>
      </c>
      <c r="H12" s="15" t="s">
        <v>876</v>
      </c>
      <c r="I12" s="15" t="s">
        <v>879</v>
      </c>
      <c r="J12" s="15" t="s">
        <v>892</v>
      </c>
      <c r="K12" s="15" t="s">
        <v>877</v>
      </c>
      <c r="L12" s="15">
        <v>101</v>
      </c>
      <c r="M12" s="23" t="s">
        <v>906</v>
      </c>
      <c r="N12" s="24" t="s">
        <v>907</v>
      </c>
      <c r="O12" s="23" t="s">
        <v>908</v>
      </c>
      <c r="P12" s="23" t="s">
        <v>909</v>
      </c>
      <c r="Y12" s="14">
        <f>'School listing'!F15</f>
        <v>0</v>
      </c>
    </row>
    <row r="13" spans="1:25" x14ac:dyDescent="0.25">
      <c r="E13" s="15" t="s">
        <v>1399</v>
      </c>
      <c r="F13" s="14" t="s">
        <v>1411</v>
      </c>
      <c r="G13" s="20">
        <v>278.88</v>
      </c>
      <c r="H13" s="15" t="s">
        <v>876</v>
      </c>
      <c r="I13" s="15" t="s">
        <v>879</v>
      </c>
      <c r="J13" s="15" t="s">
        <v>892</v>
      </c>
      <c r="K13" s="15" t="s">
        <v>881</v>
      </c>
      <c r="L13" s="15">
        <v>101</v>
      </c>
      <c r="M13" s="23" t="s">
        <v>910</v>
      </c>
      <c r="N13" s="23" t="s">
        <v>911</v>
      </c>
      <c r="O13" s="23" t="s">
        <v>912</v>
      </c>
      <c r="P13" s="23" t="s">
        <v>913</v>
      </c>
      <c r="Y13" s="14">
        <f>'School listing'!F16</f>
        <v>0</v>
      </c>
    </row>
    <row r="14" spans="1:25" x14ac:dyDescent="0.25">
      <c r="E14" s="15" t="s">
        <v>1399</v>
      </c>
      <c r="F14" s="14" t="s">
        <v>1412</v>
      </c>
      <c r="G14" s="20">
        <v>18628.57</v>
      </c>
      <c r="H14" s="15" t="s">
        <v>876</v>
      </c>
      <c r="I14" s="15" t="s">
        <v>883</v>
      </c>
      <c r="J14" s="15" t="s">
        <v>880</v>
      </c>
      <c r="K14" s="15" t="s">
        <v>877</v>
      </c>
      <c r="L14" s="15">
        <v>101</v>
      </c>
      <c r="M14" s="23" t="s">
        <v>914</v>
      </c>
      <c r="N14" s="23" t="s">
        <v>915</v>
      </c>
      <c r="O14" s="23" t="s">
        <v>916</v>
      </c>
      <c r="P14" s="23" t="s">
        <v>917</v>
      </c>
      <c r="Y14" s="14">
        <f>'School listing'!F17</f>
        <v>0</v>
      </c>
    </row>
    <row r="15" spans="1:25" x14ac:dyDescent="0.25">
      <c r="E15" s="15" t="s">
        <v>1399</v>
      </c>
      <c r="F15" s="14" t="s">
        <v>1413</v>
      </c>
      <c r="G15" s="20">
        <v>2119.02</v>
      </c>
      <c r="H15" s="15" t="s">
        <v>876</v>
      </c>
      <c r="I15" s="15" t="s">
        <v>883</v>
      </c>
      <c r="J15" s="15" t="s">
        <v>880</v>
      </c>
      <c r="K15" s="15" t="s">
        <v>881</v>
      </c>
      <c r="L15" s="15">
        <v>101</v>
      </c>
      <c r="M15" s="23" t="s">
        <v>918</v>
      </c>
      <c r="N15" s="23" t="s">
        <v>919</v>
      </c>
      <c r="O15" s="23" t="s">
        <v>920</v>
      </c>
      <c r="P15" s="25" t="s">
        <v>921</v>
      </c>
      <c r="Y15" s="14">
        <f>'School listing'!F18</f>
        <v>0</v>
      </c>
    </row>
    <row r="16" spans="1:25" x14ac:dyDescent="0.25">
      <c r="B16" s="17"/>
      <c r="E16" s="15" t="s">
        <v>1399</v>
      </c>
      <c r="F16" s="14" t="s">
        <v>1400</v>
      </c>
      <c r="G16" s="20">
        <v>871981.08</v>
      </c>
      <c r="H16" s="15" t="s">
        <v>876</v>
      </c>
      <c r="I16" s="15" t="s">
        <v>879</v>
      </c>
      <c r="J16" s="15" t="s">
        <v>880</v>
      </c>
      <c r="K16" s="15" t="s">
        <v>877</v>
      </c>
      <c r="L16" s="15">
        <v>102</v>
      </c>
      <c r="M16" s="23" t="s">
        <v>922</v>
      </c>
      <c r="N16" s="23" t="s">
        <v>923</v>
      </c>
      <c r="O16" s="23" t="s">
        <v>924</v>
      </c>
      <c r="P16" s="25" t="s">
        <v>925</v>
      </c>
      <c r="Y16" s="14">
        <f>'School listing'!F19</f>
        <v>0</v>
      </c>
    </row>
    <row r="17" spans="2:25" x14ac:dyDescent="0.25">
      <c r="B17" s="17"/>
      <c r="E17" s="15" t="s">
        <v>1399</v>
      </c>
      <c r="F17" s="14" t="s">
        <v>1401</v>
      </c>
      <c r="G17" s="20"/>
      <c r="H17" s="15" t="s">
        <v>876</v>
      </c>
      <c r="I17" s="15" t="s">
        <v>879</v>
      </c>
      <c r="J17" s="15" t="s">
        <v>880</v>
      </c>
      <c r="K17" s="15" t="s">
        <v>881</v>
      </c>
      <c r="L17" s="15">
        <v>102</v>
      </c>
      <c r="M17" s="23" t="s">
        <v>926</v>
      </c>
      <c r="N17" s="23" t="s">
        <v>927</v>
      </c>
      <c r="O17" s="23" t="s">
        <v>928</v>
      </c>
      <c r="P17" s="25" t="s">
        <v>929</v>
      </c>
      <c r="Y17" s="14">
        <f>'School listing'!F20</f>
        <v>0</v>
      </c>
    </row>
    <row r="18" spans="2:25" x14ac:dyDescent="0.25">
      <c r="B18" s="17"/>
      <c r="E18" s="15" t="s">
        <v>1399</v>
      </c>
      <c r="F18" s="14" t="s">
        <v>1402</v>
      </c>
      <c r="G18" s="20"/>
      <c r="H18" s="15" t="s">
        <v>876</v>
      </c>
      <c r="I18" s="15" t="s">
        <v>879</v>
      </c>
      <c r="J18" s="15" t="s">
        <v>888</v>
      </c>
      <c r="K18" s="15" t="s">
        <v>877</v>
      </c>
      <c r="L18" s="15">
        <v>102</v>
      </c>
      <c r="M18" s="23" t="s">
        <v>930</v>
      </c>
      <c r="N18" s="23" t="s">
        <v>931</v>
      </c>
      <c r="O18" s="23" t="s">
        <v>932</v>
      </c>
      <c r="P18" s="25" t="s">
        <v>933</v>
      </c>
      <c r="Y18" s="14">
        <f>'School listing'!F21</f>
        <v>0</v>
      </c>
    </row>
    <row r="19" spans="2:25" x14ac:dyDescent="0.25">
      <c r="E19" s="15" t="s">
        <v>1399</v>
      </c>
      <c r="F19" s="14" t="s">
        <v>1403</v>
      </c>
      <c r="G19" s="20">
        <v>4138.46</v>
      </c>
      <c r="H19" s="15" t="s">
        <v>876</v>
      </c>
      <c r="I19" s="15" t="s">
        <v>879</v>
      </c>
      <c r="J19" s="15" t="s">
        <v>892</v>
      </c>
      <c r="K19" s="15" t="s">
        <v>877</v>
      </c>
      <c r="L19" s="15">
        <v>102</v>
      </c>
      <c r="M19" s="23" t="s">
        <v>934</v>
      </c>
      <c r="N19" s="23" t="s">
        <v>935</v>
      </c>
      <c r="O19" s="23" t="s">
        <v>936</v>
      </c>
      <c r="P19" s="25" t="s">
        <v>937</v>
      </c>
      <c r="Y19" s="14">
        <f>'School listing'!F22</f>
        <v>0</v>
      </c>
    </row>
    <row r="20" spans="2:25" x14ac:dyDescent="0.25">
      <c r="E20" s="15" t="s">
        <v>1399</v>
      </c>
      <c r="F20" s="14" t="s">
        <v>1404</v>
      </c>
      <c r="G20" s="20"/>
      <c r="H20" s="15" t="s">
        <v>876</v>
      </c>
      <c r="I20" s="15" t="s">
        <v>883</v>
      </c>
      <c r="J20" s="15" t="s">
        <v>880</v>
      </c>
      <c r="K20" s="15" t="s">
        <v>881</v>
      </c>
      <c r="L20" s="15">
        <v>102</v>
      </c>
      <c r="M20" s="23" t="s">
        <v>938</v>
      </c>
      <c r="N20" s="23" t="s">
        <v>939</v>
      </c>
      <c r="O20" s="23" t="s">
        <v>940</v>
      </c>
      <c r="P20" s="25" t="s">
        <v>941</v>
      </c>
      <c r="Y20" s="14">
        <f>'School listing'!F23</f>
        <v>0</v>
      </c>
    </row>
    <row r="21" spans="2:25" x14ac:dyDescent="0.25">
      <c r="E21" s="15" t="s">
        <v>1399</v>
      </c>
      <c r="F21" s="14" t="s">
        <v>1405</v>
      </c>
      <c r="G21" s="20">
        <v>45523.03</v>
      </c>
      <c r="H21" s="15" t="s">
        <v>876</v>
      </c>
      <c r="I21" s="15" t="s">
        <v>883</v>
      </c>
      <c r="J21" s="15" t="s">
        <v>880</v>
      </c>
      <c r="K21" s="15" t="s">
        <v>877</v>
      </c>
      <c r="L21" s="15">
        <v>102</v>
      </c>
      <c r="M21" s="23" t="s">
        <v>942</v>
      </c>
      <c r="N21" s="23" t="s">
        <v>943</v>
      </c>
      <c r="O21" s="23" t="s">
        <v>944</v>
      </c>
      <c r="P21" s="25" t="s">
        <v>945</v>
      </c>
      <c r="Y21" s="14">
        <f>'School listing'!F24</f>
        <v>0</v>
      </c>
    </row>
    <row r="22" spans="2:25" x14ac:dyDescent="0.25">
      <c r="E22" s="15" t="s">
        <v>1399</v>
      </c>
      <c r="F22" s="14" t="s">
        <v>1406</v>
      </c>
      <c r="G22" s="20">
        <v>226599.33</v>
      </c>
      <c r="H22" s="15" t="s">
        <v>876</v>
      </c>
      <c r="I22" s="15" t="s">
        <v>879</v>
      </c>
      <c r="J22" s="15" t="s">
        <v>880</v>
      </c>
      <c r="K22" s="15" t="s">
        <v>877</v>
      </c>
      <c r="L22" s="15">
        <v>102</v>
      </c>
      <c r="M22" s="23" t="s">
        <v>946</v>
      </c>
      <c r="P22" s="25" t="s">
        <v>947</v>
      </c>
    </row>
    <row r="23" spans="2:25" x14ac:dyDescent="0.25">
      <c r="E23" s="15" t="s">
        <v>1399</v>
      </c>
      <c r="F23" s="14" t="s">
        <v>1407</v>
      </c>
      <c r="G23" s="20">
        <v>25653.71</v>
      </c>
      <c r="H23" s="15" t="s">
        <v>876</v>
      </c>
      <c r="I23" s="15" t="s">
        <v>879</v>
      </c>
      <c r="J23" s="15" t="s">
        <v>880</v>
      </c>
      <c r="K23" s="15" t="s">
        <v>881</v>
      </c>
      <c r="L23" s="15">
        <v>102</v>
      </c>
      <c r="M23" s="23" t="s">
        <v>948</v>
      </c>
      <c r="P23" s="25" t="s">
        <v>949</v>
      </c>
    </row>
    <row r="24" spans="2:25" x14ac:dyDescent="0.25">
      <c r="E24" s="15" t="s">
        <v>1399</v>
      </c>
      <c r="F24" s="14" t="s">
        <v>1408</v>
      </c>
      <c r="G24" s="20"/>
      <c r="H24" s="15" t="s">
        <v>876</v>
      </c>
      <c r="I24" s="15" t="s">
        <v>879</v>
      </c>
      <c r="J24" s="15" t="s">
        <v>888</v>
      </c>
      <c r="K24" s="15" t="s">
        <v>877</v>
      </c>
      <c r="L24" s="15">
        <v>102</v>
      </c>
      <c r="M24" s="23" t="s">
        <v>950</v>
      </c>
      <c r="P24" s="25" t="s">
        <v>951</v>
      </c>
    </row>
    <row r="25" spans="2:25" x14ac:dyDescent="0.25">
      <c r="E25" s="15" t="s">
        <v>1399</v>
      </c>
      <c r="F25" s="14" t="s">
        <v>1409</v>
      </c>
      <c r="G25" s="20"/>
      <c r="H25" s="15" t="s">
        <v>876</v>
      </c>
      <c r="I25" s="15" t="s">
        <v>879</v>
      </c>
      <c r="J25" s="15" t="s">
        <v>888</v>
      </c>
      <c r="K25" s="15" t="s">
        <v>881</v>
      </c>
      <c r="L25" s="15">
        <v>102</v>
      </c>
      <c r="M25" s="23" t="s">
        <v>952</v>
      </c>
      <c r="P25" s="670" t="s">
        <v>1289</v>
      </c>
    </row>
    <row r="26" spans="2:25" x14ac:dyDescent="0.25">
      <c r="E26" s="15" t="s">
        <v>1399</v>
      </c>
      <c r="F26" s="14" t="s">
        <v>1410</v>
      </c>
      <c r="G26" s="20">
        <v>1300</v>
      </c>
      <c r="H26" s="15" t="s">
        <v>876</v>
      </c>
      <c r="I26" s="15" t="s">
        <v>879</v>
      </c>
      <c r="J26" s="15" t="s">
        <v>892</v>
      </c>
      <c r="K26" s="15" t="s">
        <v>877</v>
      </c>
      <c r="L26" s="15">
        <v>102</v>
      </c>
      <c r="M26" s="23" t="s">
        <v>953</v>
      </c>
      <c r="P26" s="660" t="s">
        <v>1280</v>
      </c>
    </row>
    <row r="27" spans="2:25" x14ac:dyDescent="0.25">
      <c r="E27" s="15" t="s">
        <v>1399</v>
      </c>
      <c r="F27" s="14" t="s">
        <v>1411</v>
      </c>
      <c r="G27" s="20"/>
      <c r="H27" s="15" t="s">
        <v>876</v>
      </c>
      <c r="I27" s="15" t="s">
        <v>879</v>
      </c>
      <c r="J27" s="15" t="s">
        <v>892</v>
      </c>
      <c r="K27" s="15" t="s">
        <v>881</v>
      </c>
      <c r="L27" s="15">
        <v>102</v>
      </c>
      <c r="M27" s="23" t="s">
        <v>955</v>
      </c>
      <c r="P27" s="25" t="s">
        <v>954</v>
      </c>
    </row>
    <row r="28" spans="2:25" x14ac:dyDescent="0.25">
      <c r="E28" s="15" t="s">
        <v>1399</v>
      </c>
      <c r="F28" s="14" t="s">
        <v>1412</v>
      </c>
      <c r="G28" s="20">
        <v>11190.63</v>
      </c>
      <c r="H28" s="15" t="s">
        <v>876</v>
      </c>
      <c r="I28" s="15" t="s">
        <v>883</v>
      </c>
      <c r="J28" s="15" t="s">
        <v>880</v>
      </c>
      <c r="K28" s="15" t="s">
        <v>877</v>
      </c>
      <c r="L28" s="15">
        <v>102</v>
      </c>
      <c r="M28" s="23" t="s">
        <v>957</v>
      </c>
      <c r="P28" s="660" t="s">
        <v>1281</v>
      </c>
    </row>
    <row r="29" spans="2:25" x14ac:dyDescent="0.25">
      <c r="E29" s="15" t="s">
        <v>1399</v>
      </c>
      <c r="F29" s="14" t="s">
        <v>1413</v>
      </c>
      <c r="G29" s="20"/>
      <c r="H29" s="15" t="s">
        <v>876</v>
      </c>
      <c r="I29" s="15" t="s">
        <v>883</v>
      </c>
      <c r="J29" s="15" t="s">
        <v>880</v>
      </c>
      <c r="K29" s="15" t="s">
        <v>881</v>
      </c>
      <c r="L29" s="15">
        <v>102</v>
      </c>
      <c r="M29" s="23" t="s">
        <v>959</v>
      </c>
      <c r="P29" s="660" t="s">
        <v>1282</v>
      </c>
    </row>
    <row r="30" spans="2:25" x14ac:dyDescent="0.25">
      <c r="E30" s="15" t="s">
        <v>1414</v>
      </c>
      <c r="F30" s="14" t="s">
        <v>1415</v>
      </c>
      <c r="G30" s="20">
        <v>72693.81</v>
      </c>
      <c r="H30" s="15" t="s">
        <v>878</v>
      </c>
      <c r="I30" s="15" t="s">
        <v>879</v>
      </c>
      <c r="J30" s="15" t="s">
        <v>880</v>
      </c>
      <c r="K30" s="15" t="s">
        <v>889</v>
      </c>
      <c r="L30" s="15">
        <v>101</v>
      </c>
      <c r="M30" s="23" t="s">
        <v>961</v>
      </c>
      <c r="P30" s="25" t="s">
        <v>956</v>
      </c>
    </row>
    <row r="31" spans="2:25" x14ac:dyDescent="0.25">
      <c r="E31" s="15" t="s">
        <v>1414</v>
      </c>
      <c r="F31" s="14" t="s">
        <v>1415</v>
      </c>
      <c r="G31" s="20">
        <v>218124.98</v>
      </c>
      <c r="H31" s="15" t="s">
        <v>878</v>
      </c>
      <c r="I31" s="15" t="s">
        <v>879</v>
      </c>
      <c r="J31" s="15" t="s">
        <v>880</v>
      </c>
      <c r="K31" s="15" t="s">
        <v>889</v>
      </c>
      <c r="L31" s="15">
        <v>102</v>
      </c>
      <c r="M31" s="23" t="s">
        <v>963</v>
      </c>
      <c r="P31" s="25" t="s">
        <v>958</v>
      </c>
    </row>
    <row r="32" spans="2:25" x14ac:dyDescent="0.25">
      <c r="E32" s="15" t="s">
        <v>1416</v>
      </c>
      <c r="F32" s="14" t="s">
        <v>1417</v>
      </c>
      <c r="G32" s="20">
        <v>112822.16</v>
      </c>
      <c r="H32" s="15" t="s">
        <v>875</v>
      </c>
      <c r="I32" s="15" t="s">
        <v>919</v>
      </c>
      <c r="J32" s="15" t="s">
        <v>880</v>
      </c>
      <c r="K32" s="15" t="s">
        <v>877</v>
      </c>
      <c r="L32" s="15">
        <v>101</v>
      </c>
      <c r="M32" s="23" t="s">
        <v>965</v>
      </c>
      <c r="P32" s="25" t="s">
        <v>960</v>
      </c>
    </row>
    <row r="33" spans="5:16" x14ac:dyDescent="0.25">
      <c r="E33" s="15" t="s">
        <v>1416</v>
      </c>
      <c r="F33" s="14" t="s">
        <v>1418</v>
      </c>
      <c r="G33" s="20">
        <v>22474.17</v>
      </c>
      <c r="H33" s="15" t="s">
        <v>875</v>
      </c>
      <c r="I33" s="15" t="s">
        <v>919</v>
      </c>
      <c r="J33" s="15" t="s">
        <v>880</v>
      </c>
      <c r="K33" s="15" t="s">
        <v>881</v>
      </c>
      <c r="L33" s="15">
        <v>101</v>
      </c>
      <c r="M33" s="23" t="s">
        <v>967</v>
      </c>
      <c r="P33" s="25" t="s">
        <v>962</v>
      </c>
    </row>
    <row r="34" spans="5:16" x14ac:dyDescent="0.25">
      <c r="E34" s="15" t="s">
        <v>1416</v>
      </c>
      <c r="F34" s="14" t="s">
        <v>1419</v>
      </c>
      <c r="G34" s="20"/>
      <c r="H34" s="15" t="s">
        <v>875</v>
      </c>
      <c r="I34" s="15" t="s">
        <v>919</v>
      </c>
      <c r="J34" s="15" t="s">
        <v>880</v>
      </c>
      <c r="K34" s="15" t="s">
        <v>889</v>
      </c>
      <c r="L34" s="15">
        <v>101</v>
      </c>
      <c r="M34" s="23" t="s">
        <v>969</v>
      </c>
      <c r="P34" s="25" t="s">
        <v>964</v>
      </c>
    </row>
    <row r="35" spans="5:16" x14ac:dyDescent="0.25">
      <c r="E35" s="15" t="s">
        <v>1416</v>
      </c>
      <c r="F35" s="14" t="s">
        <v>1417</v>
      </c>
      <c r="G35" s="20">
        <v>92943.72</v>
      </c>
      <c r="H35" s="15" t="s">
        <v>875</v>
      </c>
      <c r="I35" s="15" t="s">
        <v>919</v>
      </c>
      <c r="J35" s="15" t="s">
        <v>880</v>
      </c>
      <c r="K35" s="15" t="s">
        <v>877</v>
      </c>
      <c r="L35" s="15">
        <v>102</v>
      </c>
      <c r="M35" s="23" t="s">
        <v>971</v>
      </c>
      <c r="P35" s="25" t="s">
        <v>966</v>
      </c>
    </row>
    <row r="36" spans="5:16" x14ac:dyDescent="0.25">
      <c r="E36" s="15" t="s">
        <v>1416</v>
      </c>
      <c r="F36" s="14" t="s">
        <v>1418</v>
      </c>
      <c r="G36" s="20">
        <v>10547.64</v>
      </c>
      <c r="H36" s="15" t="s">
        <v>875</v>
      </c>
      <c r="I36" s="15" t="s">
        <v>919</v>
      </c>
      <c r="J36" s="15" t="s">
        <v>880</v>
      </c>
      <c r="K36" s="15" t="s">
        <v>881</v>
      </c>
      <c r="L36" s="15">
        <v>102</v>
      </c>
      <c r="M36" s="23" t="s">
        <v>974</v>
      </c>
      <c r="P36" s="25" t="s">
        <v>968</v>
      </c>
    </row>
    <row r="37" spans="5:16" x14ac:dyDescent="0.25">
      <c r="E37" s="15" t="s">
        <v>1416</v>
      </c>
      <c r="F37" s="14" t="s">
        <v>1419</v>
      </c>
      <c r="G37" s="20"/>
      <c r="H37" s="15" t="s">
        <v>875</v>
      </c>
      <c r="I37" s="15" t="s">
        <v>919</v>
      </c>
      <c r="J37" s="15" t="s">
        <v>880</v>
      </c>
      <c r="K37" s="15" t="s">
        <v>889</v>
      </c>
      <c r="L37" s="15">
        <v>102</v>
      </c>
      <c r="M37" s="23" t="s">
        <v>976</v>
      </c>
      <c r="P37" s="25" t="s">
        <v>970</v>
      </c>
    </row>
    <row r="38" spans="5:16" x14ac:dyDescent="0.25">
      <c r="E38" s="15" t="s">
        <v>1420</v>
      </c>
      <c r="F38" s="14" t="s">
        <v>1421</v>
      </c>
      <c r="G38" s="20">
        <f>3892604.24+27299.57+146398.56</f>
        <v>4066302.37</v>
      </c>
      <c r="H38" s="15" t="s">
        <v>875</v>
      </c>
      <c r="I38" s="15" t="s">
        <v>879</v>
      </c>
      <c r="J38" s="15" t="s">
        <v>880</v>
      </c>
      <c r="K38" s="15" t="s">
        <v>877</v>
      </c>
      <c r="L38" s="15">
        <v>101</v>
      </c>
      <c r="M38" s="23" t="s">
        <v>978</v>
      </c>
      <c r="P38" s="25" t="s">
        <v>972</v>
      </c>
    </row>
    <row r="39" spans="5:16" x14ac:dyDescent="0.25">
      <c r="E39" s="15" t="s">
        <v>1420</v>
      </c>
      <c r="F39" s="14" t="s">
        <v>1422</v>
      </c>
      <c r="G39" s="20">
        <v>28599.97</v>
      </c>
      <c r="H39" s="15" t="s">
        <v>875</v>
      </c>
      <c r="I39" s="15" t="s">
        <v>923</v>
      </c>
      <c r="J39" s="15" t="s">
        <v>880</v>
      </c>
      <c r="K39" s="15" t="s">
        <v>877</v>
      </c>
      <c r="L39" s="15">
        <v>101</v>
      </c>
      <c r="M39" s="23" t="s">
        <v>980</v>
      </c>
      <c r="P39" s="25" t="s">
        <v>973</v>
      </c>
    </row>
    <row r="40" spans="5:16" x14ac:dyDescent="0.25">
      <c r="E40" s="15" t="s">
        <v>1420</v>
      </c>
      <c r="F40" s="14" t="s">
        <v>1423</v>
      </c>
      <c r="G40" s="20">
        <v>591425.94999999995</v>
      </c>
      <c r="H40" s="15" t="s">
        <v>875</v>
      </c>
      <c r="I40" s="15" t="s">
        <v>879</v>
      </c>
      <c r="J40" s="15" t="s">
        <v>880</v>
      </c>
      <c r="K40" s="15" t="s">
        <v>877</v>
      </c>
      <c r="L40" s="15">
        <v>101</v>
      </c>
      <c r="M40" s="23" t="s">
        <v>982</v>
      </c>
      <c r="P40" s="25" t="s">
        <v>975</v>
      </c>
    </row>
    <row r="41" spans="5:16" x14ac:dyDescent="0.25">
      <c r="E41" s="15" t="s">
        <v>1420</v>
      </c>
      <c r="F41" s="14" t="s">
        <v>1423</v>
      </c>
      <c r="G41" s="20">
        <v>40161.78</v>
      </c>
      <c r="H41" s="15" t="s">
        <v>875</v>
      </c>
      <c r="I41" s="15" t="s">
        <v>923</v>
      </c>
      <c r="J41" s="15" t="s">
        <v>880</v>
      </c>
      <c r="K41" s="15" t="s">
        <v>877</v>
      </c>
      <c r="L41" s="15">
        <v>101</v>
      </c>
      <c r="M41" s="23" t="s">
        <v>984</v>
      </c>
      <c r="P41" s="25" t="s">
        <v>977</v>
      </c>
    </row>
    <row r="42" spans="5:16" x14ac:dyDescent="0.25">
      <c r="E42" s="15" t="s">
        <v>1420</v>
      </c>
      <c r="F42" s="14" t="s">
        <v>1424</v>
      </c>
      <c r="G42" s="20">
        <v>0</v>
      </c>
      <c r="H42" s="15" t="s">
        <v>875</v>
      </c>
      <c r="I42" s="15" t="s">
        <v>879</v>
      </c>
      <c r="J42" s="15" t="s">
        <v>888</v>
      </c>
      <c r="K42" s="15" t="s">
        <v>877</v>
      </c>
      <c r="L42" s="15">
        <v>101</v>
      </c>
      <c r="P42" s="25" t="s">
        <v>979</v>
      </c>
    </row>
    <row r="43" spans="5:16" x14ac:dyDescent="0.25">
      <c r="E43" s="15" t="s">
        <v>1420</v>
      </c>
      <c r="F43" s="14" t="s">
        <v>1425</v>
      </c>
      <c r="G43" s="20">
        <v>731382.7</v>
      </c>
      <c r="H43" s="15" t="s">
        <v>875</v>
      </c>
      <c r="I43" s="15" t="s">
        <v>879</v>
      </c>
      <c r="J43" s="15" t="s">
        <v>888</v>
      </c>
      <c r="K43" s="15" t="s">
        <v>877</v>
      </c>
      <c r="L43" s="15">
        <v>101</v>
      </c>
      <c r="P43" s="25" t="s">
        <v>981</v>
      </c>
    </row>
    <row r="44" spans="5:16" x14ac:dyDescent="0.25">
      <c r="E44" s="15" t="s">
        <v>1420</v>
      </c>
      <c r="F44" s="14" t="s">
        <v>1426</v>
      </c>
      <c r="G44" s="20">
        <v>73017.56</v>
      </c>
      <c r="H44" s="15" t="s">
        <v>875</v>
      </c>
      <c r="I44" s="15" t="s">
        <v>879</v>
      </c>
      <c r="J44" s="15" t="s">
        <v>892</v>
      </c>
      <c r="K44" s="15" t="s">
        <v>877</v>
      </c>
      <c r="L44" s="15">
        <v>101</v>
      </c>
      <c r="P44" s="25" t="s">
        <v>983</v>
      </c>
    </row>
    <row r="45" spans="5:16" x14ac:dyDescent="0.25">
      <c r="E45" s="15" t="s">
        <v>1420</v>
      </c>
      <c r="F45" s="14" t="s">
        <v>1427</v>
      </c>
      <c r="G45" s="20">
        <v>0</v>
      </c>
      <c r="H45" s="15" t="s">
        <v>875</v>
      </c>
      <c r="I45" s="15" t="s">
        <v>879</v>
      </c>
      <c r="J45" s="15" t="s">
        <v>892</v>
      </c>
      <c r="K45" s="15" t="s">
        <v>877</v>
      </c>
      <c r="L45" s="15">
        <v>101</v>
      </c>
    </row>
    <row r="46" spans="5:16" x14ac:dyDescent="0.25">
      <c r="E46" s="15" t="s">
        <v>1420</v>
      </c>
      <c r="F46" s="14" t="s">
        <v>1428</v>
      </c>
      <c r="G46" s="20">
        <v>0</v>
      </c>
      <c r="H46" s="15" t="s">
        <v>875</v>
      </c>
      <c r="I46" s="15" t="s">
        <v>879</v>
      </c>
      <c r="J46" s="15" t="s">
        <v>892</v>
      </c>
      <c r="K46" s="15" t="s">
        <v>877</v>
      </c>
      <c r="L46" s="15">
        <v>101</v>
      </c>
    </row>
    <row r="47" spans="5:16" x14ac:dyDescent="0.25">
      <c r="E47" s="15" t="s">
        <v>1420</v>
      </c>
      <c r="F47" s="14" t="s">
        <v>1429</v>
      </c>
      <c r="G47" s="20">
        <v>500702.89</v>
      </c>
      <c r="H47" s="15" t="s">
        <v>875</v>
      </c>
      <c r="I47" s="15" t="s">
        <v>879</v>
      </c>
      <c r="J47" s="15" t="s">
        <v>908</v>
      </c>
      <c r="K47" s="15" t="s">
        <v>877</v>
      </c>
      <c r="L47" s="15">
        <v>101</v>
      </c>
    </row>
    <row r="48" spans="5:16" x14ac:dyDescent="0.25">
      <c r="E48" s="15" t="s">
        <v>1420</v>
      </c>
      <c r="F48" s="14" t="s">
        <v>1430</v>
      </c>
      <c r="G48" s="20">
        <v>0</v>
      </c>
      <c r="H48" s="15" t="s">
        <v>875</v>
      </c>
      <c r="I48" s="15" t="s">
        <v>879</v>
      </c>
      <c r="J48" s="15" t="s">
        <v>908</v>
      </c>
      <c r="K48" s="15" t="s">
        <v>877</v>
      </c>
      <c r="L48" s="15">
        <v>101</v>
      </c>
    </row>
    <row r="49" spans="5:12" x14ac:dyDescent="0.25">
      <c r="E49" s="15" t="s">
        <v>1420</v>
      </c>
      <c r="F49" s="14" t="s">
        <v>1431</v>
      </c>
      <c r="G49" s="20">
        <v>109903.29</v>
      </c>
      <c r="H49" s="15" t="s">
        <v>875</v>
      </c>
      <c r="I49" s="15" t="s">
        <v>879</v>
      </c>
      <c r="J49" s="15" t="s">
        <v>912</v>
      </c>
      <c r="K49" s="15" t="s">
        <v>877</v>
      </c>
      <c r="L49" s="15">
        <v>101</v>
      </c>
    </row>
    <row r="50" spans="5:12" x14ac:dyDescent="0.25">
      <c r="E50" s="15" t="s">
        <v>1420</v>
      </c>
      <c r="F50" s="14" t="s">
        <v>1432</v>
      </c>
      <c r="G50" s="20">
        <v>79811.56</v>
      </c>
      <c r="H50" s="15" t="s">
        <v>875</v>
      </c>
      <c r="I50" s="15" t="s">
        <v>879</v>
      </c>
      <c r="J50" s="15" t="s">
        <v>916</v>
      </c>
      <c r="K50" s="15" t="s">
        <v>877</v>
      </c>
      <c r="L50" s="15">
        <v>101</v>
      </c>
    </row>
    <row r="51" spans="5:12" x14ac:dyDescent="0.25">
      <c r="E51" s="15" t="s">
        <v>1420</v>
      </c>
      <c r="F51" s="14" t="s">
        <v>1433</v>
      </c>
      <c r="G51" s="20">
        <v>1417128.99</v>
      </c>
      <c r="H51" s="15" t="s">
        <v>875</v>
      </c>
      <c r="I51" s="15" t="s">
        <v>879</v>
      </c>
      <c r="J51" s="15" t="s">
        <v>880</v>
      </c>
      <c r="K51" s="15" t="s">
        <v>881</v>
      </c>
      <c r="L51" s="15">
        <v>101</v>
      </c>
    </row>
    <row r="52" spans="5:12" x14ac:dyDescent="0.25">
      <c r="E52" s="15" t="s">
        <v>1420</v>
      </c>
      <c r="F52" s="14" t="s">
        <v>1434</v>
      </c>
      <c r="G52" s="20">
        <v>13207.4</v>
      </c>
      <c r="H52" s="15" t="s">
        <v>875</v>
      </c>
      <c r="I52" s="15" t="s">
        <v>923</v>
      </c>
      <c r="J52" s="15" t="s">
        <v>880</v>
      </c>
      <c r="K52" s="15" t="s">
        <v>881</v>
      </c>
      <c r="L52" s="15">
        <v>101</v>
      </c>
    </row>
    <row r="53" spans="5:12" x14ac:dyDescent="0.25">
      <c r="E53" s="15" t="s">
        <v>1420</v>
      </c>
      <c r="F53" s="14" t="s">
        <v>1435</v>
      </c>
      <c r="G53" s="20">
        <v>148956.87</v>
      </c>
      <c r="H53" s="15" t="s">
        <v>875</v>
      </c>
      <c r="I53" s="15" t="s">
        <v>879</v>
      </c>
      <c r="J53" s="15" t="s">
        <v>888</v>
      </c>
      <c r="K53" s="15" t="s">
        <v>881</v>
      </c>
      <c r="L53" s="15">
        <v>101</v>
      </c>
    </row>
    <row r="54" spans="5:12" x14ac:dyDescent="0.25">
      <c r="E54" s="15" t="s">
        <v>1420</v>
      </c>
      <c r="F54" s="14" t="s">
        <v>1436</v>
      </c>
      <c r="G54" s="20">
        <v>25889.07</v>
      </c>
      <c r="H54" s="15" t="s">
        <v>875</v>
      </c>
      <c r="I54" s="15" t="s">
        <v>879</v>
      </c>
      <c r="J54" s="15" t="s">
        <v>892</v>
      </c>
      <c r="K54" s="15" t="s">
        <v>881</v>
      </c>
      <c r="L54" s="15">
        <v>101</v>
      </c>
    </row>
    <row r="55" spans="5:12" x14ac:dyDescent="0.25">
      <c r="E55" s="15" t="s">
        <v>1420</v>
      </c>
      <c r="F55" s="14" t="s">
        <v>1437</v>
      </c>
      <c r="G55" s="20">
        <v>106404.47</v>
      </c>
      <c r="H55" s="15" t="s">
        <v>875</v>
      </c>
      <c r="I55" s="15" t="s">
        <v>879</v>
      </c>
      <c r="J55" s="15" t="s">
        <v>908</v>
      </c>
      <c r="K55" s="15" t="s">
        <v>881</v>
      </c>
      <c r="L55" s="15">
        <v>101</v>
      </c>
    </row>
    <row r="56" spans="5:12" x14ac:dyDescent="0.25">
      <c r="E56" s="15" t="s">
        <v>1420</v>
      </c>
      <c r="F56" s="14" t="s">
        <v>1438</v>
      </c>
      <c r="G56" s="20">
        <v>26763.18</v>
      </c>
      <c r="H56" s="15" t="s">
        <v>875</v>
      </c>
      <c r="I56" s="15" t="s">
        <v>879</v>
      </c>
      <c r="J56" s="15" t="s">
        <v>912</v>
      </c>
      <c r="K56" s="15" t="s">
        <v>881</v>
      </c>
      <c r="L56" s="15">
        <v>101</v>
      </c>
    </row>
    <row r="57" spans="5:12" x14ac:dyDescent="0.25">
      <c r="E57" s="15" t="s">
        <v>1420</v>
      </c>
      <c r="F57" s="14" t="s">
        <v>1439</v>
      </c>
      <c r="G57" s="20">
        <v>16093.25</v>
      </c>
      <c r="H57" s="15" t="s">
        <v>875</v>
      </c>
      <c r="I57" s="15" t="s">
        <v>879</v>
      </c>
      <c r="J57" s="15" t="s">
        <v>916</v>
      </c>
      <c r="K57" s="15" t="s">
        <v>881</v>
      </c>
      <c r="L57" s="15">
        <v>101</v>
      </c>
    </row>
    <row r="58" spans="5:12" x14ac:dyDescent="0.25">
      <c r="E58" s="15" t="s">
        <v>1420</v>
      </c>
      <c r="F58" s="14" t="s">
        <v>1440</v>
      </c>
      <c r="G58" s="20">
        <v>45409.22</v>
      </c>
      <c r="H58" s="15" t="s">
        <v>875</v>
      </c>
      <c r="I58" s="15" t="s">
        <v>879</v>
      </c>
      <c r="J58" s="15" t="s">
        <v>880</v>
      </c>
      <c r="K58" s="15" t="s">
        <v>885</v>
      </c>
      <c r="L58" s="15">
        <v>101</v>
      </c>
    </row>
    <row r="59" spans="5:12" x14ac:dyDescent="0.25">
      <c r="E59" s="15" t="s">
        <v>1420</v>
      </c>
      <c r="F59" s="14" t="s">
        <v>1441</v>
      </c>
      <c r="G59" s="20">
        <v>274</v>
      </c>
      <c r="H59" s="15" t="s">
        <v>875</v>
      </c>
      <c r="I59" s="15" t="s">
        <v>879</v>
      </c>
      <c r="J59" s="15" t="s">
        <v>888</v>
      </c>
      <c r="K59" s="15" t="s">
        <v>885</v>
      </c>
      <c r="L59" s="15">
        <v>101</v>
      </c>
    </row>
    <row r="60" spans="5:12" x14ac:dyDescent="0.25">
      <c r="E60" s="15" t="s">
        <v>1420</v>
      </c>
      <c r="F60" s="14" t="s">
        <v>1442</v>
      </c>
      <c r="G60" s="20">
        <v>500</v>
      </c>
      <c r="H60" s="15" t="s">
        <v>875</v>
      </c>
      <c r="I60" s="15" t="s">
        <v>879</v>
      </c>
      <c r="J60" s="15" t="s">
        <v>892</v>
      </c>
      <c r="K60" s="15" t="s">
        <v>885</v>
      </c>
      <c r="L60" s="15">
        <v>101</v>
      </c>
    </row>
    <row r="61" spans="5:12" x14ac:dyDescent="0.25">
      <c r="E61" s="15" t="s">
        <v>1420</v>
      </c>
      <c r="F61" s="14" t="s">
        <v>1443</v>
      </c>
      <c r="G61" s="20">
        <v>35495</v>
      </c>
      <c r="H61" s="15" t="s">
        <v>875</v>
      </c>
      <c r="I61" s="15" t="s">
        <v>879</v>
      </c>
      <c r="J61" s="15" t="s">
        <v>908</v>
      </c>
      <c r="K61" s="15" t="s">
        <v>885</v>
      </c>
      <c r="L61" s="15">
        <v>101</v>
      </c>
    </row>
    <row r="62" spans="5:12" x14ac:dyDescent="0.25">
      <c r="E62" s="15" t="s">
        <v>1420</v>
      </c>
      <c r="F62" s="14" t="s">
        <v>1444</v>
      </c>
      <c r="G62" s="20">
        <v>1213619.8400000001</v>
      </c>
      <c r="H62" s="15" t="s">
        <v>875</v>
      </c>
      <c r="I62" s="15" t="s">
        <v>879</v>
      </c>
      <c r="J62" s="15" t="s">
        <v>912</v>
      </c>
      <c r="K62" s="15" t="s">
        <v>885</v>
      </c>
      <c r="L62" s="15">
        <v>101</v>
      </c>
    </row>
    <row r="63" spans="5:12" x14ac:dyDescent="0.25">
      <c r="E63" s="15" t="s">
        <v>1420</v>
      </c>
      <c r="F63" s="14" t="s">
        <v>1445</v>
      </c>
      <c r="G63" s="20">
        <v>595132.52</v>
      </c>
      <c r="H63" s="15" t="s">
        <v>875</v>
      </c>
      <c r="I63" s="15" t="s">
        <v>879</v>
      </c>
      <c r="J63" s="15" t="s">
        <v>916</v>
      </c>
      <c r="K63" s="15" t="s">
        <v>885</v>
      </c>
      <c r="L63" s="15">
        <v>101</v>
      </c>
    </row>
    <row r="64" spans="5:12" x14ac:dyDescent="0.25">
      <c r="E64" s="15" t="s">
        <v>1420</v>
      </c>
      <c r="F64" s="14" t="s">
        <v>1446</v>
      </c>
      <c r="G64" s="20">
        <v>2089591.46</v>
      </c>
      <c r="H64" s="15" t="s">
        <v>875</v>
      </c>
      <c r="I64" s="15" t="s">
        <v>879</v>
      </c>
      <c r="J64" s="15" t="s">
        <v>944</v>
      </c>
      <c r="K64" s="15" t="s">
        <v>905</v>
      </c>
      <c r="L64" s="15">
        <v>101</v>
      </c>
    </row>
    <row r="65" spans="5:12" x14ac:dyDescent="0.25">
      <c r="E65" s="15" t="s">
        <v>1420</v>
      </c>
      <c r="F65" s="14" t="s">
        <v>1447</v>
      </c>
      <c r="G65" s="20">
        <v>0</v>
      </c>
      <c r="H65" s="15" t="s">
        <v>875</v>
      </c>
      <c r="I65" s="15" t="s">
        <v>899</v>
      </c>
      <c r="J65" s="15" t="s">
        <v>920</v>
      </c>
      <c r="K65" s="15" t="s">
        <v>885</v>
      </c>
      <c r="L65" s="15">
        <v>101</v>
      </c>
    </row>
    <row r="66" spans="5:12" x14ac:dyDescent="0.25">
      <c r="E66" s="15" t="s">
        <v>1420</v>
      </c>
      <c r="F66" s="14" t="s">
        <v>1448</v>
      </c>
      <c r="G66" s="20">
        <v>119414.2</v>
      </c>
      <c r="H66" s="15" t="s">
        <v>875</v>
      </c>
      <c r="I66" s="15" t="s">
        <v>879</v>
      </c>
      <c r="J66" s="15" t="s">
        <v>880</v>
      </c>
      <c r="K66" s="15" t="s">
        <v>889</v>
      </c>
      <c r="L66" s="15">
        <v>101</v>
      </c>
    </row>
    <row r="67" spans="5:12" x14ac:dyDescent="0.25">
      <c r="E67" s="15" t="s">
        <v>1420</v>
      </c>
      <c r="F67" s="14" t="s">
        <v>1449</v>
      </c>
      <c r="G67" s="20">
        <v>0</v>
      </c>
      <c r="H67" s="15" t="s">
        <v>875</v>
      </c>
      <c r="I67" s="15" t="s">
        <v>879</v>
      </c>
      <c r="J67" s="15" t="s">
        <v>888</v>
      </c>
      <c r="K67" s="15" t="s">
        <v>889</v>
      </c>
      <c r="L67" s="15">
        <v>101</v>
      </c>
    </row>
    <row r="68" spans="5:12" x14ac:dyDescent="0.25">
      <c r="E68" s="15" t="s">
        <v>1420</v>
      </c>
      <c r="F68" s="14" t="s">
        <v>1450</v>
      </c>
      <c r="G68" s="20">
        <v>108611.59</v>
      </c>
      <c r="H68" s="15" t="s">
        <v>875</v>
      </c>
      <c r="I68" s="15" t="s">
        <v>879</v>
      </c>
      <c r="J68" s="15" t="s">
        <v>892</v>
      </c>
      <c r="K68" s="15" t="s">
        <v>889</v>
      </c>
      <c r="L68" s="15">
        <v>101</v>
      </c>
    </row>
    <row r="69" spans="5:12" x14ac:dyDescent="0.25">
      <c r="E69" s="15" t="s">
        <v>1420</v>
      </c>
      <c r="F69" s="14" t="s">
        <v>1451</v>
      </c>
      <c r="G69" s="20">
        <v>6833.43</v>
      </c>
      <c r="H69" s="15" t="s">
        <v>875</v>
      </c>
      <c r="I69" s="15" t="s">
        <v>879</v>
      </c>
      <c r="J69" s="15" t="s">
        <v>908</v>
      </c>
      <c r="K69" s="15" t="s">
        <v>889</v>
      </c>
      <c r="L69" s="15">
        <v>101</v>
      </c>
    </row>
    <row r="70" spans="5:12" x14ac:dyDescent="0.25">
      <c r="E70" s="15" t="s">
        <v>1420</v>
      </c>
      <c r="F70" s="14" t="s">
        <v>1452</v>
      </c>
      <c r="G70" s="20">
        <v>479.44</v>
      </c>
      <c r="H70" s="15" t="s">
        <v>875</v>
      </c>
      <c r="I70" s="15" t="s">
        <v>879</v>
      </c>
      <c r="J70" s="15" t="s">
        <v>912</v>
      </c>
      <c r="K70" s="15" t="s">
        <v>889</v>
      </c>
      <c r="L70" s="15">
        <v>101</v>
      </c>
    </row>
    <row r="71" spans="5:12" x14ac:dyDescent="0.25">
      <c r="E71" s="15" t="s">
        <v>1420</v>
      </c>
      <c r="F71" s="14" t="s">
        <v>1453</v>
      </c>
      <c r="G71" s="20">
        <v>158990.96</v>
      </c>
      <c r="H71" s="15" t="s">
        <v>875</v>
      </c>
      <c r="I71" s="15" t="s">
        <v>879</v>
      </c>
      <c r="J71" s="15" t="s">
        <v>916</v>
      </c>
      <c r="K71" s="15" t="s">
        <v>889</v>
      </c>
      <c r="L71" s="15">
        <v>101</v>
      </c>
    </row>
    <row r="72" spans="5:12" x14ac:dyDescent="0.25">
      <c r="E72" s="15" t="s">
        <v>1420</v>
      </c>
      <c r="F72" s="14" t="s">
        <v>1454</v>
      </c>
      <c r="G72" s="20">
        <v>546.83000000000004</v>
      </c>
      <c r="H72" s="15" t="s">
        <v>875</v>
      </c>
      <c r="I72" s="15" t="s">
        <v>879</v>
      </c>
      <c r="J72" s="15" t="s">
        <v>880</v>
      </c>
      <c r="K72" s="15" t="s">
        <v>897</v>
      </c>
      <c r="L72" s="15">
        <v>101</v>
      </c>
    </row>
    <row r="73" spans="5:12" x14ac:dyDescent="0.25">
      <c r="E73" s="15" t="s">
        <v>1420</v>
      </c>
      <c r="F73" s="14" t="s">
        <v>1455</v>
      </c>
      <c r="G73" s="20">
        <v>588.83000000000004</v>
      </c>
      <c r="H73" s="15" t="s">
        <v>875</v>
      </c>
      <c r="I73" s="15" t="s">
        <v>923</v>
      </c>
      <c r="J73" s="15" t="s">
        <v>880</v>
      </c>
      <c r="K73" s="15" t="s">
        <v>909</v>
      </c>
      <c r="L73" s="15">
        <v>101</v>
      </c>
    </row>
    <row r="74" spans="5:12" x14ac:dyDescent="0.25">
      <c r="E74" s="15" t="s">
        <v>1420</v>
      </c>
      <c r="F74" s="14" t="s">
        <v>1456</v>
      </c>
      <c r="G74" s="20">
        <v>40714.36</v>
      </c>
      <c r="H74" s="15" t="s">
        <v>875</v>
      </c>
      <c r="I74" s="15" t="s">
        <v>923</v>
      </c>
      <c r="J74" s="15" t="s">
        <v>880</v>
      </c>
      <c r="K74" s="15" t="s">
        <v>909</v>
      </c>
      <c r="L74" s="15">
        <v>101</v>
      </c>
    </row>
    <row r="75" spans="5:12" x14ac:dyDescent="0.25">
      <c r="E75" s="15" t="s">
        <v>1420</v>
      </c>
      <c r="F75" s="14" t="s">
        <v>1457</v>
      </c>
      <c r="G75" s="20">
        <v>132492.6</v>
      </c>
      <c r="H75" s="15" t="s">
        <v>875</v>
      </c>
      <c r="I75" s="15" t="s">
        <v>923</v>
      </c>
      <c r="J75" s="15" t="s">
        <v>880</v>
      </c>
      <c r="K75" s="15" t="s">
        <v>909</v>
      </c>
      <c r="L75" s="15">
        <v>101</v>
      </c>
    </row>
    <row r="76" spans="5:12" x14ac:dyDescent="0.25">
      <c r="E76" s="15" t="s">
        <v>1420</v>
      </c>
      <c r="F76" s="14" t="s">
        <v>1458</v>
      </c>
      <c r="G76" s="20">
        <v>22449.45</v>
      </c>
      <c r="H76" s="15" t="s">
        <v>875</v>
      </c>
      <c r="I76" s="15" t="s">
        <v>923</v>
      </c>
      <c r="J76" s="15" t="s">
        <v>880</v>
      </c>
      <c r="K76" s="15" t="s">
        <v>909</v>
      </c>
      <c r="L76" s="15">
        <v>101</v>
      </c>
    </row>
    <row r="77" spans="5:12" x14ac:dyDescent="0.25">
      <c r="E77" s="15" t="s">
        <v>1420</v>
      </c>
      <c r="F77" s="14" t="s">
        <v>1459</v>
      </c>
      <c r="G77" s="20">
        <v>5037.79</v>
      </c>
      <c r="H77" s="15" t="s">
        <v>875</v>
      </c>
      <c r="I77" s="15" t="s">
        <v>923</v>
      </c>
      <c r="J77" s="15" t="s">
        <v>880</v>
      </c>
      <c r="K77" s="15" t="s">
        <v>909</v>
      </c>
      <c r="L77" s="15">
        <v>101</v>
      </c>
    </row>
    <row r="78" spans="5:12" x14ac:dyDescent="0.25">
      <c r="E78" s="15" t="s">
        <v>1420</v>
      </c>
      <c r="F78" s="14" t="s">
        <v>1460</v>
      </c>
      <c r="G78" s="20">
        <v>801.79</v>
      </c>
      <c r="H78" s="15" t="s">
        <v>875</v>
      </c>
      <c r="I78" s="15" t="s">
        <v>923</v>
      </c>
      <c r="J78" s="15" t="s">
        <v>880</v>
      </c>
      <c r="K78" s="15" t="s">
        <v>909</v>
      </c>
      <c r="L78" s="15">
        <v>101</v>
      </c>
    </row>
    <row r="79" spans="5:12" x14ac:dyDescent="0.25">
      <c r="E79" s="15" t="s">
        <v>1420</v>
      </c>
      <c r="F79" s="14" t="s">
        <v>1461</v>
      </c>
      <c r="G79" s="20">
        <v>5725.2</v>
      </c>
      <c r="H79" s="15" t="s">
        <v>875</v>
      </c>
      <c r="I79" s="15" t="s">
        <v>923</v>
      </c>
      <c r="J79" s="15" t="s">
        <v>880</v>
      </c>
      <c r="K79" s="15" t="s">
        <v>909</v>
      </c>
      <c r="L79" s="15">
        <v>101</v>
      </c>
    </row>
    <row r="80" spans="5:12" x14ac:dyDescent="0.25">
      <c r="E80" s="15" t="s">
        <v>1420</v>
      </c>
      <c r="F80" s="14" t="s">
        <v>1462</v>
      </c>
      <c r="G80" s="20">
        <v>36.61</v>
      </c>
      <c r="H80" s="15" t="s">
        <v>875</v>
      </c>
      <c r="I80" s="15" t="s">
        <v>879</v>
      </c>
      <c r="J80" s="15" t="s">
        <v>908</v>
      </c>
      <c r="K80" s="15" t="s">
        <v>909</v>
      </c>
      <c r="L80" s="15">
        <v>101</v>
      </c>
    </row>
    <row r="81" spans="5:12" x14ac:dyDescent="0.25">
      <c r="E81" s="15" t="s">
        <v>1420</v>
      </c>
      <c r="F81" s="14" t="s">
        <v>1463</v>
      </c>
      <c r="G81" s="20">
        <v>173.46</v>
      </c>
      <c r="H81" s="15" t="s">
        <v>875</v>
      </c>
      <c r="I81" s="15" t="s">
        <v>879</v>
      </c>
      <c r="J81" s="15" t="s">
        <v>908</v>
      </c>
      <c r="K81" s="15" t="s">
        <v>897</v>
      </c>
      <c r="L81" s="15">
        <v>101</v>
      </c>
    </row>
    <row r="82" spans="5:12" x14ac:dyDescent="0.25">
      <c r="E82" s="15" t="s">
        <v>1420</v>
      </c>
      <c r="F82" s="14" t="s">
        <v>1464</v>
      </c>
      <c r="G82" s="20">
        <v>0</v>
      </c>
      <c r="H82" s="15" t="s">
        <v>875</v>
      </c>
      <c r="I82" s="15" t="s">
        <v>879</v>
      </c>
      <c r="J82" s="15" t="s">
        <v>908</v>
      </c>
      <c r="K82" s="15" t="s">
        <v>897</v>
      </c>
      <c r="L82" s="15">
        <v>101</v>
      </c>
    </row>
    <row r="83" spans="5:12" x14ac:dyDescent="0.25">
      <c r="E83" s="15" t="s">
        <v>1420</v>
      </c>
      <c r="F83" s="14" t="s">
        <v>1465</v>
      </c>
      <c r="G83" s="20">
        <v>55000</v>
      </c>
      <c r="H83" s="15" t="s">
        <v>875</v>
      </c>
      <c r="I83" s="15" t="s">
        <v>879</v>
      </c>
      <c r="J83" s="15" t="s">
        <v>912</v>
      </c>
      <c r="K83" s="15" t="s">
        <v>905</v>
      </c>
      <c r="L83" s="15">
        <v>101</v>
      </c>
    </row>
    <row r="84" spans="5:12" x14ac:dyDescent="0.25">
      <c r="E84" s="15" t="s">
        <v>1420</v>
      </c>
      <c r="F84" s="14" t="s">
        <v>1466</v>
      </c>
      <c r="G84" s="20">
        <v>14950.39</v>
      </c>
      <c r="H84" s="15" t="s">
        <v>875</v>
      </c>
      <c r="I84" s="15" t="s">
        <v>879</v>
      </c>
      <c r="J84" s="15" t="s">
        <v>912</v>
      </c>
      <c r="K84" s="15" t="s">
        <v>897</v>
      </c>
      <c r="L84" s="15">
        <v>101</v>
      </c>
    </row>
    <row r="85" spans="5:12" x14ac:dyDescent="0.25">
      <c r="E85" s="15" t="s">
        <v>1420</v>
      </c>
      <c r="F85" s="14" t="s">
        <v>1467</v>
      </c>
      <c r="G85" s="20">
        <v>203070.3</v>
      </c>
      <c r="H85" s="15" t="s">
        <v>875</v>
      </c>
      <c r="I85" s="15" t="s">
        <v>879</v>
      </c>
      <c r="J85" s="15" t="s">
        <v>916</v>
      </c>
      <c r="K85" s="15" t="s">
        <v>913</v>
      </c>
      <c r="L85" s="15">
        <v>101</v>
      </c>
    </row>
    <row r="86" spans="5:12" x14ac:dyDescent="0.25">
      <c r="E86" s="15" t="s">
        <v>1420</v>
      </c>
      <c r="F86" s="14" t="s">
        <v>1468</v>
      </c>
      <c r="G86" s="20">
        <v>468819.91</v>
      </c>
      <c r="H86" s="15" t="s">
        <v>875</v>
      </c>
      <c r="I86" s="15" t="s">
        <v>883</v>
      </c>
      <c r="J86" s="15" t="s">
        <v>880</v>
      </c>
      <c r="K86" s="15" t="s">
        <v>877</v>
      </c>
      <c r="L86" s="15">
        <v>101</v>
      </c>
    </row>
    <row r="87" spans="5:12" x14ac:dyDescent="0.25">
      <c r="E87" s="15" t="s">
        <v>1420</v>
      </c>
      <c r="F87" s="14" t="s">
        <v>1469</v>
      </c>
      <c r="G87" s="20">
        <v>46363.55</v>
      </c>
      <c r="H87" s="15" t="s">
        <v>875</v>
      </c>
      <c r="I87" s="15" t="s">
        <v>883</v>
      </c>
      <c r="J87" s="15" t="s">
        <v>888</v>
      </c>
      <c r="K87" s="15" t="s">
        <v>877</v>
      </c>
      <c r="L87" s="15">
        <v>101</v>
      </c>
    </row>
    <row r="88" spans="5:12" x14ac:dyDescent="0.25">
      <c r="E88" s="15" t="s">
        <v>1420</v>
      </c>
      <c r="F88" s="14" t="s">
        <v>1470</v>
      </c>
      <c r="G88" s="20">
        <v>0</v>
      </c>
      <c r="H88" s="15" t="s">
        <v>875</v>
      </c>
      <c r="I88" s="15" t="s">
        <v>883</v>
      </c>
      <c r="J88" s="15" t="s">
        <v>908</v>
      </c>
      <c r="K88" s="15" t="s">
        <v>877</v>
      </c>
      <c r="L88" s="15">
        <v>101</v>
      </c>
    </row>
    <row r="89" spans="5:12" x14ac:dyDescent="0.25">
      <c r="E89" s="15" t="s">
        <v>1420</v>
      </c>
      <c r="F89" s="14" t="s">
        <v>1471</v>
      </c>
      <c r="G89" s="20">
        <v>412635.51</v>
      </c>
      <c r="H89" s="15" t="s">
        <v>875</v>
      </c>
      <c r="I89" s="15" t="s">
        <v>883</v>
      </c>
      <c r="J89" s="15" t="s">
        <v>880</v>
      </c>
      <c r="K89" s="15" t="s">
        <v>877</v>
      </c>
      <c r="L89" s="15">
        <v>101</v>
      </c>
    </row>
    <row r="90" spans="5:12" x14ac:dyDescent="0.25">
      <c r="E90" s="15" t="s">
        <v>1420</v>
      </c>
      <c r="F90" s="14" t="s">
        <v>1472</v>
      </c>
      <c r="G90" s="20">
        <v>202084.43</v>
      </c>
      <c r="H90" s="15" t="s">
        <v>875</v>
      </c>
      <c r="I90" s="15" t="s">
        <v>883</v>
      </c>
      <c r="J90" s="15" t="s">
        <v>880</v>
      </c>
      <c r="K90" s="15" t="s">
        <v>881</v>
      </c>
      <c r="L90" s="15">
        <v>101</v>
      </c>
    </row>
    <row r="91" spans="5:12" x14ac:dyDescent="0.25">
      <c r="E91" s="15" t="s">
        <v>1420</v>
      </c>
      <c r="F91" s="14" t="s">
        <v>1473</v>
      </c>
      <c r="G91" s="20">
        <v>11990.01</v>
      </c>
      <c r="H91" s="15" t="s">
        <v>875</v>
      </c>
      <c r="I91" s="15" t="s">
        <v>883</v>
      </c>
      <c r="J91" s="15" t="s">
        <v>888</v>
      </c>
      <c r="K91" s="15" t="s">
        <v>881</v>
      </c>
      <c r="L91" s="15">
        <v>101</v>
      </c>
    </row>
    <row r="92" spans="5:12" x14ac:dyDescent="0.25">
      <c r="E92" s="15" t="s">
        <v>1420</v>
      </c>
      <c r="F92" s="14" t="s">
        <v>1474</v>
      </c>
      <c r="G92" s="20">
        <v>0</v>
      </c>
      <c r="H92" s="15" t="s">
        <v>875</v>
      </c>
      <c r="I92" s="15" t="s">
        <v>883</v>
      </c>
      <c r="J92" s="15" t="s">
        <v>892</v>
      </c>
      <c r="K92" s="15" t="s">
        <v>881</v>
      </c>
      <c r="L92" s="15">
        <v>101</v>
      </c>
    </row>
    <row r="93" spans="5:12" x14ac:dyDescent="0.25">
      <c r="E93" s="15" t="s">
        <v>1420</v>
      </c>
      <c r="F93" s="14" t="s">
        <v>1475</v>
      </c>
      <c r="G93" s="20">
        <v>0</v>
      </c>
      <c r="H93" s="15" t="s">
        <v>875</v>
      </c>
      <c r="I93" s="15" t="s">
        <v>883</v>
      </c>
      <c r="J93" s="15" t="s">
        <v>908</v>
      </c>
      <c r="K93" s="15" t="s">
        <v>881</v>
      </c>
      <c r="L93" s="15">
        <v>101</v>
      </c>
    </row>
    <row r="94" spans="5:12" x14ac:dyDescent="0.25">
      <c r="E94" s="15" t="s">
        <v>1420</v>
      </c>
      <c r="F94" s="14" t="s">
        <v>1476</v>
      </c>
      <c r="G94" s="20">
        <v>44970</v>
      </c>
      <c r="H94" s="15" t="s">
        <v>875</v>
      </c>
      <c r="I94" s="15" t="s">
        <v>883</v>
      </c>
      <c r="J94" s="15" t="s">
        <v>880</v>
      </c>
      <c r="K94" s="15" t="s">
        <v>885</v>
      </c>
      <c r="L94" s="15">
        <v>101</v>
      </c>
    </row>
    <row r="95" spans="5:12" x14ac:dyDescent="0.25">
      <c r="E95" s="15" t="s">
        <v>1420</v>
      </c>
      <c r="F95" s="14" t="s">
        <v>1477</v>
      </c>
      <c r="G95" s="20">
        <v>323358.59999999998</v>
      </c>
      <c r="H95" s="15" t="s">
        <v>875</v>
      </c>
      <c r="I95" s="15" t="s">
        <v>883</v>
      </c>
      <c r="J95" s="15" t="s">
        <v>888</v>
      </c>
      <c r="K95" s="15" t="s">
        <v>885</v>
      </c>
      <c r="L95" s="15">
        <v>101</v>
      </c>
    </row>
    <row r="96" spans="5:12" x14ac:dyDescent="0.25">
      <c r="E96" s="15" t="s">
        <v>1420</v>
      </c>
      <c r="F96" s="14" t="s">
        <v>1478</v>
      </c>
      <c r="G96" s="20">
        <v>3042.14</v>
      </c>
      <c r="H96" s="15" t="s">
        <v>875</v>
      </c>
      <c r="I96" s="15" t="s">
        <v>883</v>
      </c>
      <c r="J96" s="15" t="s">
        <v>892</v>
      </c>
      <c r="K96" s="15" t="s">
        <v>885</v>
      </c>
      <c r="L96" s="15">
        <v>101</v>
      </c>
    </row>
    <row r="97" spans="5:12" x14ac:dyDescent="0.25">
      <c r="E97" s="15" t="s">
        <v>1420</v>
      </c>
      <c r="F97" s="14" t="s">
        <v>1479</v>
      </c>
      <c r="G97" s="20">
        <v>3399.93</v>
      </c>
      <c r="H97" s="15" t="s">
        <v>875</v>
      </c>
      <c r="I97" s="15" t="s">
        <v>883</v>
      </c>
      <c r="J97" s="15" t="s">
        <v>880</v>
      </c>
      <c r="K97" s="15" t="s">
        <v>889</v>
      </c>
      <c r="L97" s="15">
        <v>101</v>
      </c>
    </row>
    <row r="98" spans="5:12" x14ac:dyDescent="0.25">
      <c r="E98" s="15" t="s">
        <v>1420</v>
      </c>
      <c r="F98" s="14" t="s">
        <v>1480</v>
      </c>
      <c r="G98" s="20">
        <v>1905.16</v>
      </c>
      <c r="H98" s="15" t="s">
        <v>875</v>
      </c>
      <c r="I98" s="15" t="s">
        <v>883</v>
      </c>
      <c r="J98" s="15" t="s">
        <v>888</v>
      </c>
      <c r="K98" s="15" t="s">
        <v>889</v>
      </c>
      <c r="L98" s="15">
        <v>101</v>
      </c>
    </row>
    <row r="99" spans="5:12" x14ac:dyDescent="0.25">
      <c r="E99" s="15" t="s">
        <v>1420</v>
      </c>
      <c r="F99" s="14" t="s">
        <v>1421</v>
      </c>
      <c r="G99" s="20">
        <v>3743740.73</v>
      </c>
      <c r="H99" s="15" t="s">
        <v>875</v>
      </c>
      <c r="I99" s="15" t="s">
        <v>879</v>
      </c>
      <c r="J99" s="15" t="s">
        <v>880</v>
      </c>
      <c r="K99" s="15" t="s">
        <v>877</v>
      </c>
      <c r="L99" s="15">
        <v>102</v>
      </c>
    </row>
    <row r="100" spans="5:12" x14ac:dyDescent="0.25">
      <c r="E100" s="15" t="s">
        <v>1420</v>
      </c>
      <c r="F100" s="14" t="s">
        <v>1422</v>
      </c>
      <c r="G100" s="20">
        <v>45619.99</v>
      </c>
      <c r="H100" s="15" t="s">
        <v>875</v>
      </c>
      <c r="I100" s="15" t="s">
        <v>923</v>
      </c>
      <c r="J100" s="15" t="s">
        <v>880</v>
      </c>
      <c r="K100" s="15" t="s">
        <v>877</v>
      </c>
      <c r="L100" s="15">
        <v>102</v>
      </c>
    </row>
    <row r="101" spans="5:12" x14ac:dyDescent="0.25">
      <c r="E101" s="15" t="s">
        <v>1420</v>
      </c>
      <c r="F101" s="14" t="s">
        <v>1423</v>
      </c>
      <c r="G101" s="20">
        <v>709246.38</v>
      </c>
      <c r="H101" s="15" t="s">
        <v>875</v>
      </c>
      <c r="I101" s="15" t="s">
        <v>879</v>
      </c>
      <c r="J101" s="15" t="s">
        <v>880</v>
      </c>
      <c r="K101" s="15" t="s">
        <v>877</v>
      </c>
      <c r="L101" s="15">
        <v>102</v>
      </c>
    </row>
    <row r="102" spans="5:12" x14ac:dyDescent="0.25">
      <c r="E102" s="15" t="s">
        <v>1420</v>
      </c>
      <c r="F102" s="14" t="s">
        <v>1423</v>
      </c>
      <c r="G102" s="20">
        <v>42142.7</v>
      </c>
      <c r="H102" s="15" t="s">
        <v>875</v>
      </c>
      <c r="I102" s="15" t="s">
        <v>923</v>
      </c>
      <c r="J102" s="15" t="s">
        <v>880</v>
      </c>
      <c r="K102" s="15" t="s">
        <v>877</v>
      </c>
      <c r="L102" s="15">
        <v>102</v>
      </c>
    </row>
    <row r="103" spans="5:12" x14ac:dyDescent="0.25">
      <c r="E103" s="15" t="s">
        <v>1420</v>
      </c>
      <c r="F103" s="14" t="s">
        <v>1424</v>
      </c>
      <c r="G103" s="20">
        <v>600</v>
      </c>
      <c r="H103" s="15" t="s">
        <v>875</v>
      </c>
      <c r="I103" s="15" t="s">
        <v>879</v>
      </c>
      <c r="J103" s="15" t="s">
        <v>888</v>
      </c>
      <c r="K103" s="15" t="s">
        <v>877</v>
      </c>
      <c r="L103" s="15">
        <v>102</v>
      </c>
    </row>
    <row r="104" spans="5:12" x14ac:dyDescent="0.25">
      <c r="E104" s="15" t="s">
        <v>1420</v>
      </c>
      <c r="F104" s="14" t="s">
        <v>1425</v>
      </c>
      <c r="G104" s="20">
        <v>819518.15</v>
      </c>
      <c r="H104" s="15" t="s">
        <v>875</v>
      </c>
      <c r="I104" s="15" t="s">
        <v>879</v>
      </c>
      <c r="J104" s="15" t="s">
        <v>888</v>
      </c>
      <c r="K104" s="15" t="s">
        <v>877</v>
      </c>
      <c r="L104" s="15">
        <v>102</v>
      </c>
    </row>
    <row r="105" spans="5:12" x14ac:dyDescent="0.25">
      <c r="E105" s="15" t="s">
        <v>1420</v>
      </c>
      <c r="F105" s="14" t="s">
        <v>1426</v>
      </c>
      <c r="G105" s="20">
        <v>154416.54</v>
      </c>
      <c r="H105" s="15" t="s">
        <v>875</v>
      </c>
      <c r="I105" s="15" t="s">
        <v>879</v>
      </c>
      <c r="J105" s="15" t="s">
        <v>892</v>
      </c>
      <c r="K105" s="15" t="s">
        <v>877</v>
      </c>
      <c r="L105" s="15">
        <v>102</v>
      </c>
    </row>
    <row r="106" spans="5:12" x14ac:dyDescent="0.25">
      <c r="E106" s="15" t="s">
        <v>1420</v>
      </c>
      <c r="F106" s="14" t="s">
        <v>1427</v>
      </c>
      <c r="G106" s="20">
        <v>256548.75</v>
      </c>
      <c r="H106" s="15" t="s">
        <v>875</v>
      </c>
      <c r="I106" s="15" t="s">
        <v>879</v>
      </c>
      <c r="J106" s="15" t="s">
        <v>892</v>
      </c>
      <c r="K106" s="15" t="s">
        <v>877</v>
      </c>
      <c r="L106" s="15">
        <v>102</v>
      </c>
    </row>
    <row r="107" spans="5:12" x14ac:dyDescent="0.25">
      <c r="E107" s="15" t="s">
        <v>1420</v>
      </c>
      <c r="F107" s="14" t="s">
        <v>1428</v>
      </c>
      <c r="G107" s="20">
        <v>78495.11</v>
      </c>
      <c r="H107" s="15" t="s">
        <v>875</v>
      </c>
      <c r="I107" s="15" t="s">
        <v>879</v>
      </c>
      <c r="J107" s="15" t="s">
        <v>892</v>
      </c>
      <c r="K107" s="15" t="s">
        <v>877</v>
      </c>
      <c r="L107" s="15">
        <v>102</v>
      </c>
    </row>
    <row r="108" spans="5:12" x14ac:dyDescent="0.25">
      <c r="E108" s="15" t="s">
        <v>1420</v>
      </c>
      <c r="F108" s="14" t="s">
        <v>1429</v>
      </c>
      <c r="G108" s="20">
        <v>373160.05</v>
      </c>
      <c r="H108" s="15" t="s">
        <v>875</v>
      </c>
      <c r="I108" s="15" t="s">
        <v>879</v>
      </c>
      <c r="J108" s="15" t="s">
        <v>908</v>
      </c>
      <c r="K108" s="15" t="s">
        <v>877</v>
      </c>
      <c r="L108" s="15">
        <v>102</v>
      </c>
    </row>
    <row r="109" spans="5:12" x14ac:dyDescent="0.25">
      <c r="E109" s="15" t="s">
        <v>1420</v>
      </c>
      <c r="F109" s="14" t="s">
        <v>1430</v>
      </c>
      <c r="G109" s="20">
        <v>0</v>
      </c>
      <c r="H109" s="15" t="s">
        <v>875</v>
      </c>
      <c r="I109" s="15" t="s">
        <v>879</v>
      </c>
      <c r="J109" s="15" t="s">
        <v>908</v>
      </c>
      <c r="K109" s="15" t="s">
        <v>877</v>
      </c>
      <c r="L109" s="15">
        <v>102</v>
      </c>
    </row>
    <row r="110" spans="5:12" x14ac:dyDescent="0.25">
      <c r="E110" s="15" t="s">
        <v>1420</v>
      </c>
      <c r="F110" s="14" t="s">
        <v>1431</v>
      </c>
      <c r="G110" s="20">
        <v>65630.37</v>
      </c>
      <c r="H110" s="15" t="s">
        <v>875</v>
      </c>
      <c r="I110" s="15" t="s">
        <v>879</v>
      </c>
      <c r="J110" s="15" t="s">
        <v>912</v>
      </c>
      <c r="K110" s="15" t="s">
        <v>877</v>
      </c>
      <c r="L110" s="15">
        <v>102</v>
      </c>
    </row>
    <row r="111" spans="5:12" x14ac:dyDescent="0.25">
      <c r="E111" s="15" t="s">
        <v>1420</v>
      </c>
      <c r="F111" s="14" t="s">
        <v>1432</v>
      </c>
      <c r="G111" s="20">
        <v>183661.72</v>
      </c>
      <c r="H111" s="15" t="s">
        <v>875</v>
      </c>
      <c r="I111" s="15" t="s">
        <v>879</v>
      </c>
      <c r="J111" s="15" t="s">
        <v>916</v>
      </c>
      <c r="K111" s="15" t="s">
        <v>877</v>
      </c>
      <c r="L111" s="15">
        <v>102</v>
      </c>
    </row>
    <row r="112" spans="5:12" x14ac:dyDescent="0.25">
      <c r="E112" s="15" t="s">
        <v>1420</v>
      </c>
      <c r="F112" s="14" t="s">
        <v>1433</v>
      </c>
      <c r="G112" s="20">
        <v>1247197.5</v>
      </c>
      <c r="H112" s="15" t="s">
        <v>875</v>
      </c>
      <c r="I112" s="15" t="s">
        <v>879</v>
      </c>
      <c r="J112" s="15" t="s">
        <v>880</v>
      </c>
      <c r="K112" s="15" t="s">
        <v>881</v>
      </c>
      <c r="L112" s="15">
        <v>102</v>
      </c>
    </row>
    <row r="113" spans="5:12" x14ac:dyDescent="0.25">
      <c r="E113" s="15" t="s">
        <v>1420</v>
      </c>
      <c r="F113" s="14" t="s">
        <v>1434</v>
      </c>
      <c r="G113" s="20">
        <v>19357.310000000001</v>
      </c>
      <c r="H113" s="15" t="s">
        <v>875</v>
      </c>
      <c r="I113" s="15" t="s">
        <v>923</v>
      </c>
      <c r="J113" s="15" t="s">
        <v>880</v>
      </c>
      <c r="K113" s="15" t="s">
        <v>881</v>
      </c>
      <c r="L113" s="15">
        <v>102</v>
      </c>
    </row>
    <row r="114" spans="5:12" x14ac:dyDescent="0.25">
      <c r="E114" s="15" t="s">
        <v>1420</v>
      </c>
      <c r="F114" s="14" t="s">
        <v>1435</v>
      </c>
      <c r="G114" s="20">
        <v>197094.82</v>
      </c>
      <c r="H114" s="15" t="s">
        <v>875</v>
      </c>
      <c r="I114" s="15" t="s">
        <v>879</v>
      </c>
      <c r="J114" s="15" t="s">
        <v>888</v>
      </c>
      <c r="K114" s="15" t="s">
        <v>881</v>
      </c>
      <c r="L114" s="15">
        <v>102</v>
      </c>
    </row>
    <row r="115" spans="5:12" x14ac:dyDescent="0.25">
      <c r="E115" s="15" t="s">
        <v>1420</v>
      </c>
      <c r="F115" s="14" t="s">
        <v>1436</v>
      </c>
      <c r="G115" s="20">
        <v>94564.54</v>
      </c>
      <c r="H115" s="15" t="s">
        <v>875</v>
      </c>
      <c r="I115" s="15" t="s">
        <v>879</v>
      </c>
      <c r="J115" s="15" t="s">
        <v>892</v>
      </c>
      <c r="K115" s="15" t="s">
        <v>881</v>
      </c>
      <c r="L115" s="15">
        <v>102</v>
      </c>
    </row>
    <row r="116" spans="5:12" x14ac:dyDescent="0.25">
      <c r="E116" s="15" t="s">
        <v>1420</v>
      </c>
      <c r="F116" s="14" t="s">
        <v>1437</v>
      </c>
      <c r="G116" s="20">
        <v>89850.9</v>
      </c>
      <c r="H116" s="15" t="s">
        <v>875</v>
      </c>
      <c r="I116" s="15" t="s">
        <v>879</v>
      </c>
      <c r="J116" s="15" t="s">
        <v>908</v>
      </c>
      <c r="K116" s="15" t="s">
        <v>881</v>
      </c>
      <c r="L116" s="15">
        <v>102</v>
      </c>
    </row>
    <row r="117" spans="5:12" x14ac:dyDescent="0.25">
      <c r="E117" s="15" t="s">
        <v>1420</v>
      </c>
      <c r="F117" s="14" t="s">
        <v>1438</v>
      </c>
      <c r="G117" s="20">
        <v>13263.75</v>
      </c>
      <c r="H117" s="15" t="s">
        <v>875</v>
      </c>
      <c r="I117" s="15" t="s">
        <v>879</v>
      </c>
      <c r="J117" s="15" t="s">
        <v>912</v>
      </c>
      <c r="K117" s="15" t="s">
        <v>881</v>
      </c>
      <c r="L117" s="15">
        <v>102</v>
      </c>
    </row>
    <row r="118" spans="5:12" x14ac:dyDescent="0.25">
      <c r="E118" s="15" t="s">
        <v>1420</v>
      </c>
      <c r="F118" s="14" t="s">
        <v>1439</v>
      </c>
      <c r="G118" s="20">
        <v>51941.04</v>
      </c>
      <c r="H118" s="15" t="s">
        <v>875</v>
      </c>
      <c r="I118" s="15" t="s">
        <v>879</v>
      </c>
      <c r="J118" s="15" t="s">
        <v>916</v>
      </c>
      <c r="K118" s="15" t="s">
        <v>881</v>
      </c>
      <c r="L118" s="15">
        <v>102</v>
      </c>
    </row>
    <row r="119" spans="5:12" x14ac:dyDescent="0.25">
      <c r="E119" s="15" t="s">
        <v>1420</v>
      </c>
      <c r="F119" s="14" t="s">
        <v>1440</v>
      </c>
      <c r="G119" s="20">
        <f>129248.72-2232.15</f>
        <v>127016.57</v>
      </c>
      <c r="H119" s="15" t="s">
        <v>875</v>
      </c>
      <c r="I119" s="15" t="s">
        <v>879</v>
      </c>
      <c r="J119" s="15" t="s">
        <v>880</v>
      </c>
      <c r="K119" s="15" t="s">
        <v>885</v>
      </c>
      <c r="L119" s="15">
        <v>102</v>
      </c>
    </row>
    <row r="120" spans="5:12" x14ac:dyDescent="0.25">
      <c r="E120" s="15" t="s">
        <v>1420</v>
      </c>
      <c r="F120" s="14" t="s">
        <v>1441</v>
      </c>
      <c r="G120" s="20">
        <v>590.57000000000005</v>
      </c>
      <c r="H120" s="15" t="s">
        <v>875</v>
      </c>
      <c r="I120" s="15" t="s">
        <v>879</v>
      </c>
      <c r="J120" s="15" t="s">
        <v>888</v>
      </c>
      <c r="K120" s="15" t="s">
        <v>885</v>
      </c>
      <c r="L120" s="15">
        <v>102</v>
      </c>
    </row>
    <row r="121" spans="5:12" x14ac:dyDescent="0.25">
      <c r="E121" s="15" t="s">
        <v>1420</v>
      </c>
      <c r="F121" s="14" t="s">
        <v>1442</v>
      </c>
      <c r="G121" s="20">
        <v>13673.86</v>
      </c>
      <c r="H121" s="15" t="s">
        <v>875</v>
      </c>
      <c r="I121" s="15" t="s">
        <v>879</v>
      </c>
      <c r="J121" s="15" t="s">
        <v>892</v>
      </c>
      <c r="K121" s="15" t="s">
        <v>885</v>
      </c>
      <c r="L121" s="15">
        <v>102</v>
      </c>
    </row>
    <row r="122" spans="5:12" x14ac:dyDescent="0.25">
      <c r="E122" s="15" t="s">
        <v>1420</v>
      </c>
      <c r="F122" s="14" t="s">
        <v>1443</v>
      </c>
      <c r="G122" s="20">
        <v>3535.83</v>
      </c>
      <c r="H122" s="15" t="s">
        <v>875</v>
      </c>
      <c r="I122" s="15" t="s">
        <v>879</v>
      </c>
      <c r="J122" s="15" t="s">
        <v>908</v>
      </c>
      <c r="K122" s="15" t="s">
        <v>885</v>
      </c>
      <c r="L122" s="15">
        <v>102</v>
      </c>
    </row>
    <row r="123" spans="5:12" x14ac:dyDescent="0.25">
      <c r="E123" s="15" t="s">
        <v>1420</v>
      </c>
      <c r="F123" s="14" t="s">
        <v>1444</v>
      </c>
      <c r="G123" s="20">
        <v>32317.55</v>
      </c>
      <c r="H123" s="15" t="s">
        <v>875</v>
      </c>
      <c r="I123" s="15" t="s">
        <v>879</v>
      </c>
      <c r="J123" s="15" t="s">
        <v>912</v>
      </c>
      <c r="K123" s="15" t="s">
        <v>885</v>
      </c>
      <c r="L123" s="15">
        <v>102</v>
      </c>
    </row>
    <row r="124" spans="5:12" x14ac:dyDescent="0.25">
      <c r="E124" s="15" t="s">
        <v>1420</v>
      </c>
      <c r="F124" s="14" t="s">
        <v>1445</v>
      </c>
      <c r="G124" s="20">
        <v>270572.51</v>
      </c>
      <c r="H124" s="15" t="s">
        <v>875</v>
      </c>
      <c r="I124" s="15" t="s">
        <v>879</v>
      </c>
      <c r="J124" s="15" t="s">
        <v>916</v>
      </c>
      <c r="K124" s="15" t="s">
        <v>885</v>
      </c>
      <c r="L124" s="15">
        <v>102</v>
      </c>
    </row>
    <row r="125" spans="5:12" x14ac:dyDescent="0.25">
      <c r="E125" s="15" t="s">
        <v>1420</v>
      </c>
      <c r="F125" s="14" t="s">
        <v>1446</v>
      </c>
      <c r="G125" s="20">
        <v>2701978.03</v>
      </c>
      <c r="H125" s="15" t="s">
        <v>875</v>
      </c>
      <c r="I125" s="15" t="s">
        <v>879</v>
      </c>
      <c r="J125" s="15" t="s">
        <v>944</v>
      </c>
      <c r="K125" s="15" t="s">
        <v>905</v>
      </c>
      <c r="L125" s="15">
        <v>102</v>
      </c>
    </row>
    <row r="126" spans="5:12" x14ac:dyDescent="0.25">
      <c r="E126" s="15" t="s">
        <v>1420</v>
      </c>
      <c r="F126" s="14" t="s">
        <v>1447</v>
      </c>
      <c r="G126" s="20">
        <v>2024.16</v>
      </c>
      <c r="H126" s="15" t="s">
        <v>875</v>
      </c>
      <c r="I126" s="15" t="s">
        <v>899</v>
      </c>
      <c r="J126" s="15" t="s">
        <v>920</v>
      </c>
      <c r="K126" s="15" t="s">
        <v>885</v>
      </c>
      <c r="L126" s="15">
        <v>102</v>
      </c>
    </row>
    <row r="127" spans="5:12" x14ac:dyDescent="0.25">
      <c r="E127" s="15" t="s">
        <v>1420</v>
      </c>
      <c r="F127" s="14" t="s">
        <v>1448</v>
      </c>
      <c r="G127" s="20">
        <v>347212.48</v>
      </c>
      <c r="H127" s="15" t="s">
        <v>875</v>
      </c>
      <c r="I127" s="15" t="s">
        <v>879</v>
      </c>
      <c r="J127" s="15" t="s">
        <v>880</v>
      </c>
      <c r="K127" s="15" t="s">
        <v>889</v>
      </c>
      <c r="L127" s="15">
        <v>102</v>
      </c>
    </row>
    <row r="128" spans="5:12" x14ac:dyDescent="0.25">
      <c r="E128" s="15" t="s">
        <v>1420</v>
      </c>
      <c r="F128" s="14" t="s">
        <v>1449</v>
      </c>
      <c r="G128" s="20">
        <v>5281.09</v>
      </c>
      <c r="H128" s="15" t="s">
        <v>875</v>
      </c>
      <c r="I128" s="15" t="s">
        <v>879</v>
      </c>
      <c r="J128" s="15" t="s">
        <v>888</v>
      </c>
      <c r="K128" s="15" t="s">
        <v>889</v>
      </c>
      <c r="L128" s="15">
        <v>102</v>
      </c>
    </row>
    <row r="129" spans="5:12" x14ac:dyDescent="0.25">
      <c r="E129" s="15" t="s">
        <v>1420</v>
      </c>
      <c r="F129" s="14" t="s">
        <v>1450</v>
      </c>
      <c r="G129" s="20">
        <v>92025.91</v>
      </c>
      <c r="H129" s="15" t="s">
        <v>875</v>
      </c>
      <c r="I129" s="15" t="s">
        <v>879</v>
      </c>
      <c r="J129" s="15" t="s">
        <v>892</v>
      </c>
      <c r="K129" s="15" t="s">
        <v>889</v>
      </c>
      <c r="L129" s="15">
        <v>102</v>
      </c>
    </row>
    <row r="130" spans="5:12" x14ac:dyDescent="0.25">
      <c r="E130" s="15" t="s">
        <v>1420</v>
      </c>
      <c r="F130" s="14" t="s">
        <v>1451</v>
      </c>
      <c r="G130" s="20">
        <v>11743.62</v>
      </c>
      <c r="H130" s="15" t="s">
        <v>875</v>
      </c>
      <c r="I130" s="15" t="s">
        <v>879</v>
      </c>
      <c r="J130" s="15" t="s">
        <v>908</v>
      </c>
      <c r="K130" s="15" t="s">
        <v>889</v>
      </c>
      <c r="L130" s="15">
        <v>102</v>
      </c>
    </row>
    <row r="131" spans="5:12" x14ac:dyDescent="0.25">
      <c r="E131" s="15" t="s">
        <v>1420</v>
      </c>
      <c r="F131" s="14" t="s">
        <v>1452</v>
      </c>
      <c r="G131" s="20">
        <v>4977.3999999999996</v>
      </c>
      <c r="H131" s="15" t="s">
        <v>875</v>
      </c>
      <c r="I131" s="15" t="s">
        <v>879</v>
      </c>
      <c r="J131" s="15" t="s">
        <v>912</v>
      </c>
      <c r="K131" s="15" t="s">
        <v>889</v>
      </c>
      <c r="L131" s="15">
        <v>102</v>
      </c>
    </row>
    <row r="132" spans="5:12" x14ac:dyDescent="0.25">
      <c r="E132" s="15" t="s">
        <v>1420</v>
      </c>
      <c r="F132" s="14" t="s">
        <v>1453</v>
      </c>
      <c r="G132" s="20">
        <v>268492.71999999997</v>
      </c>
      <c r="H132" s="15" t="s">
        <v>875</v>
      </c>
      <c r="I132" s="15" t="s">
        <v>879</v>
      </c>
      <c r="J132" s="15" t="s">
        <v>916</v>
      </c>
      <c r="K132" s="15" t="s">
        <v>889</v>
      </c>
      <c r="L132" s="15">
        <v>102</v>
      </c>
    </row>
    <row r="133" spans="5:12" x14ac:dyDescent="0.25">
      <c r="E133" s="15" t="s">
        <v>1420</v>
      </c>
      <c r="F133" s="14" t="s">
        <v>1481</v>
      </c>
      <c r="G133" s="20">
        <v>489.61</v>
      </c>
      <c r="H133" s="15" t="s">
        <v>875</v>
      </c>
      <c r="I133" s="15" t="s">
        <v>879</v>
      </c>
      <c r="J133" s="15" t="s">
        <v>880</v>
      </c>
      <c r="K133" s="15" t="s">
        <v>909</v>
      </c>
      <c r="L133" s="15">
        <v>102</v>
      </c>
    </row>
    <row r="134" spans="5:12" x14ac:dyDescent="0.25">
      <c r="E134" s="15" t="s">
        <v>1420</v>
      </c>
      <c r="F134" s="14" t="s">
        <v>1456</v>
      </c>
      <c r="G134" s="20">
        <v>12774.03</v>
      </c>
      <c r="H134" s="15" t="s">
        <v>875</v>
      </c>
      <c r="I134" s="15" t="s">
        <v>923</v>
      </c>
      <c r="J134" s="15" t="s">
        <v>880</v>
      </c>
      <c r="K134" s="15" t="s">
        <v>909</v>
      </c>
      <c r="L134" s="15">
        <v>102</v>
      </c>
    </row>
    <row r="135" spans="5:12" x14ac:dyDescent="0.25">
      <c r="E135" s="15" t="s">
        <v>1420</v>
      </c>
      <c r="F135" s="14" t="s">
        <v>1457</v>
      </c>
      <c r="G135" s="20">
        <v>71949.55</v>
      </c>
      <c r="H135" s="15" t="s">
        <v>875</v>
      </c>
      <c r="I135" s="15" t="s">
        <v>923</v>
      </c>
      <c r="J135" s="15" t="s">
        <v>880</v>
      </c>
      <c r="K135" s="15" t="s">
        <v>909</v>
      </c>
      <c r="L135" s="15">
        <v>102</v>
      </c>
    </row>
    <row r="136" spans="5:12" x14ac:dyDescent="0.25">
      <c r="E136" s="15" t="s">
        <v>1420</v>
      </c>
      <c r="F136" s="14" t="s">
        <v>1458</v>
      </c>
      <c r="G136" s="20">
        <v>30990.75</v>
      </c>
      <c r="H136" s="15" t="s">
        <v>875</v>
      </c>
      <c r="I136" s="15" t="s">
        <v>923</v>
      </c>
      <c r="J136" s="15" t="s">
        <v>880</v>
      </c>
      <c r="K136" s="15" t="s">
        <v>909</v>
      </c>
      <c r="L136" s="15">
        <v>102</v>
      </c>
    </row>
    <row r="137" spans="5:12" x14ac:dyDescent="0.25">
      <c r="E137" s="15" t="s">
        <v>1420</v>
      </c>
      <c r="F137" s="14" t="s">
        <v>1459</v>
      </c>
      <c r="G137" s="20">
        <v>0</v>
      </c>
      <c r="H137" s="15" t="s">
        <v>875</v>
      </c>
      <c r="I137" s="15" t="s">
        <v>923</v>
      </c>
      <c r="J137" s="15" t="s">
        <v>880</v>
      </c>
      <c r="K137" s="15" t="s">
        <v>909</v>
      </c>
      <c r="L137" s="15">
        <v>102</v>
      </c>
    </row>
    <row r="138" spans="5:12" x14ac:dyDescent="0.25">
      <c r="E138" s="15" t="s">
        <v>1420</v>
      </c>
      <c r="F138" s="14" t="s">
        <v>1460</v>
      </c>
      <c r="G138" s="20">
        <v>2588.46</v>
      </c>
      <c r="H138" s="15" t="s">
        <v>875</v>
      </c>
      <c r="I138" s="15" t="s">
        <v>923</v>
      </c>
      <c r="J138" s="15" t="s">
        <v>880</v>
      </c>
      <c r="K138" s="15" t="s">
        <v>909</v>
      </c>
      <c r="L138" s="15">
        <v>102</v>
      </c>
    </row>
    <row r="139" spans="5:12" x14ac:dyDescent="0.25">
      <c r="E139" s="15" t="s">
        <v>1420</v>
      </c>
      <c r="F139" s="14" t="s">
        <v>1461</v>
      </c>
      <c r="G139" s="20">
        <v>0</v>
      </c>
      <c r="H139" s="15" t="s">
        <v>875</v>
      </c>
      <c r="I139" s="15" t="s">
        <v>923</v>
      </c>
      <c r="J139" s="15" t="s">
        <v>880</v>
      </c>
      <c r="K139" s="15" t="s">
        <v>897</v>
      </c>
      <c r="L139" s="15">
        <v>102</v>
      </c>
    </row>
    <row r="140" spans="5:12" x14ac:dyDescent="0.25">
      <c r="E140" s="15" t="s">
        <v>1420</v>
      </c>
      <c r="F140" s="14" t="s">
        <v>1463</v>
      </c>
      <c r="G140" s="20">
        <v>5747.29</v>
      </c>
      <c r="H140" s="15" t="s">
        <v>875</v>
      </c>
      <c r="I140" s="15" t="s">
        <v>879</v>
      </c>
      <c r="J140" s="15" t="s">
        <v>908</v>
      </c>
      <c r="K140" s="15" t="s">
        <v>897</v>
      </c>
      <c r="L140" s="15">
        <v>102</v>
      </c>
    </row>
    <row r="141" spans="5:12" x14ac:dyDescent="0.25">
      <c r="E141" s="15" t="s">
        <v>1420</v>
      </c>
      <c r="F141" s="14" t="s">
        <v>1462</v>
      </c>
      <c r="G141" s="20">
        <v>303.39</v>
      </c>
      <c r="H141" s="15" t="s">
        <v>875</v>
      </c>
      <c r="I141" s="15" t="s">
        <v>879</v>
      </c>
      <c r="J141" s="15" t="s">
        <v>908</v>
      </c>
      <c r="K141" s="15" t="s">
        <v>909</v>
      </c>
      <c r="L141" s="15">
        <v>102</v>
      </c>
    </row>
    <row r="142" spans="5:12" x14ac:dyDescent="0.25">
      <c r="E142" s="15" t="s">
        <v>1420</v>
      </c>
      <c r="F142" s="14" t="s">
        <v>1464</v>
      </c>
      <c r="G142" s="20">
        <v>1931.37</v>
      </c>
      <c r="H142" s="15" t="s">
        <v>875</v>
      </c>
      <c r="I142" s="15" t="s">
        <v>879</v>
      </c>
      <c r="J142" s="15" t="s">
        <v>908</v>
      </c>
      <c r="K142" s="15" t="s">
        <v>897</v>
      </c>
      <c r="L142" s="15">
        <v>102</v>
      </c>
    </row>
    <row r="143" spans="5:12" x14ac:dyDescent="0.25">
      <c r="E143" s="15" t="s">
        <v>1420</v>
      </c>
      <c r="F143" s="14" t="s">
        <v>1466</v>
      </c>
      <c r="G143" s="20">
        <v>6959.55</v>
      </c>
      <c r="H143" s="15" t="s">
        <v>875</v>
      </c>
      <c r="I143" s="15" t="s">
        <v>879</v>
      </c>
      <c r="J143" s="15" t="s">
        <v>908</v>
      </c>
      <c r="K143" s="15" t="s">
        <v>897</v>
      </c>
      <c r="L143" s="15">
        <v>102</v>
      </c>
    </row>
    <row r="144" spans="5:12" x14ac:dyDescent="0.25">
      <c r="E144" s="15" t="s">
        <v>1420</v>
      </c>
      <c r="F144" s="14" t="s">
        <v>1465</v>
      </c>
      <c r="G144" s="20">
        <v>0</v>
      </c>
      <c r="H144" s="15" t="s">
        <v>875</v>
      </c>
      <c r="I144" s="15" t="s">
        <v>879</v>
      </c>
      <c r="J144" s="15" t="s">
        <v>912</v>
      </c>
      <c r="K144" s="15" t="s">
        <v>905</v>
      </c>
      <c r="L144" s="15">
        <v>101</v>
      </c>
    </row>
    <row r="145" spans="5:12" x14ac:dyDescent="0.25">
      <c r="E145" s="15" t="s">
        <v>1420</v>
      </c>
      <c r="F145" s="14" t="s">
        <v>1467</v>
      </c>
      <c r="G145" s="20">
        <v>297695.31</v>
      </c>
      <c r="H145" s="15" t="s">
        <v>875</v>
      </c>
      <c r="I145" s="15" t="s">
        <v>879</v>
      </c>
      <c r="J145" s="15" t="s">
        <v>916</v>
      </c>
      <c r="K145" s="15" t="s">
        <v>913</v>
      </c>
      <c r="L145" s="15">
        <v>102</v>
      </c>
    </row>
    <row r="146" spans="5:12" x14ac:dyDescent="0.25">
      <c r="E146" s="15" t="s">
        <v>1420</v>
      </c>
      <c r="F146" s="14" t="s">
        <v>1468</v>
      </c>
      <c r="G146" s="20">
        <v>622385.97</v>
      </c>
      <c r="H146" s="15" t="s">
        <v>875</v>
      </c>
      <c r="I146" s="15" t="s">
        <v>883</v>
      </c>
      <c r="J146" s="15" t="s">
        <v>880</v>
      </c>
      <c r="K146" s="15" t="s">
        <v>877</v>
      </c>
      <c r="L146" s="15">
        <v>102</v>
      </c>
    </row>
    <row r="147" spans="5:12" x14ac:dyDescent="0.25">
      <c r="E147" s="15" t="s">
        <v>1420</v>
      </c>
      <c r="F147" s="14" t="s">
        <v>1469</v>
      </c>
      <c r="G147" s="20">
        <v>43143.25</v>
      </c>
      <c r="H147" s="15" t="s">
        <v>875</v>
      </c>
      <c r="I147" s="15" t="s">
        <v>883</v>
      </c>
      <c r="J147" s="15" t="s">
        <v>888</v>
      </c>
      <c r="K147" s="15" t="s">
        <v>877</v>
      </c>
      <c r="L147" s="15">
        <v>102</v>
      </c>
    </row>
    <row r="148" spans="5:12" x14ac:dyDescent="0.25">
      <c r="E148" s="15" t="s">
        <v>1420</v>
      </c>
      <c r="F148" s="14" t="s">
        <v>1470</v>
      </c>
      <c r="G148" s="20">
        <v>110917.35</v>
      </c>
      <c r="H148" s="15" t="s">
        <v>875</v>
      </c>
      <c r="I148" s="15" t="s">
        <v>883</v>
      </c>
      <c r="J148" s="15" t="s">
        <v>908</v>
      </c>
      <c r="K148" s="15" t="s">
        <v>877</v>
      </c>
      <c r="L148" s="15">
        <v>102</v>
      </c>
    </row>
    <row r="149" spans="5:12" x14ac:dyDescent="0.25">
      <c r="E149" s="15" t="s">
        <v>1420</v>
      </c>
      <c r="F149" s="14" t="s">
        <v>1471</v>
      </c>
      <c r="G149" s="20">
        <v>510030.4</v>
      </c>
      <c r="H149" s="15" t="s">
        <v>875</v>
      </c>
      <c r="I149" s="15" t="s">
        <v>883</v>
      </c>
      <c r="J149" s="15" t="s">
        <v>880</v>
      </c>
      <c r="K149" s="15" t="s">
        <v>877</v>
      </c>
      <c r="L149" s="15">
        <v>102</v>
      </c>
    </row>
    <row r="150" spans="5:12" x14ac:dyDescent="0.25">
      <c r="E150" s="15" t="s">
        <v>1420</v>
      </c>
      <c r="F150" s="14" t="s">
        <v>1472</v>
      </c>
      <c r="G150" s="20">
        <v>269627.84999999998</v>
      </c>
      <c r="H150" s="15" t="s">
        <v>875</v>
      </c>
      <c r="I150" s="15" t="s">
        <v>883</v>
      </c>
      <c r="J150" s="15" t="s">
        <v>880</v>
      </c>
      <c r="K150" s="15" t="s">
        <v>881</v>
      </c>
      <c r="L150" s="15">
        <v>102</v>
      </c>
    </row>
    <row r="151" spans="5:12" x14ac:dyDescent="0.25">
      <c r="E151" s="15" t="s">
        <v>1420</v>
      </c>
      <c r="F151" s="14" t="s">
        <v>1473</v>
      </c>
      <c r="G151" s="20">
        <v>22289.72</v>
      </c>
      <c r="H151" s="15" t="s">
        <v>875</v>
      </c>
      <c r="I151" s="15" t="s">
        <v>883</v>
      </c>
      <c r="J151" s="15" t="s">
        <v>888</v>
      </c>
      <c r="K151" s="15" t="s">
        <v>881</v>
      </c>
      <c r="L151" s="15">
        <v>102</v>
      </c>
    </row>
    <row r="152" spans="5:12" x14ac:dyDescent="0.25">
      <c r="E152" s="15" t="s">
        <v>1420</v>
      </c>
      <c r="F152" s="14" t="s">
        <v>1474</v>
      </c>
      <c r="G152" s="20">
        <v>0</v>
      </c>
      <c r="H152" s="15" t="s">
        <v>875</v>
      </c>
      <c r="I152" s="15" t="s">
        <v>883</v>
      </c>
      <c r="J152" s="15" t="s">
        <v>892</v>
      </c>
      <c r="K152" s="15" t="s">
        <v>881</v>
      </c>
      <c r="L152" s="15">
        <v>102</v>
      </c>
    </row>
    <row r="153" spans="5:12" x14ac:dyDescent="0.25">
      <c r="E153" s="15" t="s">
        <v>1420</v>
      </c>
      <c r="F153" s="14" t="s">
        <v>1475</v>
      </c>
      <c r="G153" s="20">
        <v>26514.14</v>
      </c>
      <c r="H153" s="15" t="s">
        <v>875</v>
      </c>
      <c r="I153" s="15" t="s">
        <v>883</v>
      </c>
      <c r="J153" s="15" t="s">
        <v>908</v>
      </c>
      <c r="K153" s="15" t="s">
        <v>881</v>
      </c>
      <c r="L153" s="15">
        <v>102</v>
      </c>
    </row>
    <row r="154" spans="5:12" x14ac:dyDescent="0.25">
      <c r="E154" s="15" t="s">
        <v>1420</v>
      </c>
      <c r="F154" s="14" t="s">
        <v>1476</v>
      </c>
      <c r="G154" s="20">
        <v>39574.86</v>
      </c>
      <c r="H154" s="15" t="s">
        <v>875</v>
      </c>
      <c r="I154" s="15" t="s">
        <v>883</v>
      </c>
      <c r="J154" s="15" t="s">
        <v>880</v>
      </c>
      <c r="K154" s="15" t="s">
        <v>885</v>
      </c>
      <c r="L154" s="15">
        <v>102</v>
      </c>
    </row>
    <row r="155" spans="5:12" x14ac:dyDescent="0.25">
      <c r="E155" s="15" t="s">
        <v>1420</v>
      </c>
      <c r="F155" s="14" t="s">
        <v>1477</v>
      </c>
      <c r="G155" s="20">
        <v>394217.6</v>
      </c>
      <c r="H155" s="15" t="s">
        <v>875</v>
      </c>
      <c r="I155" s="15" t="s">
        <v>883</v>
      </c>
      <c r="J155" s="15" t="s">
        <v>888</v>
      </c>
      <c r="K155" s="15" t="s">
        <v>885</v>
      </c>
      <c r="L155" s="15">
        <v>102</v>
      </c>
    </row>
    <row r="156" spans="5:12" x14ac:dyDescent="0.25">
      <c r="E156" s="15" t="s">
        <v>1420</v>
      </c>
      <c r="F156" s="14" t="s">
        <v>1478</v>
      </c>
      <c r="G156" s="20">
        <v>0</v>
      </c>
      <c r="H156" s="15" t="s">
        <v>875</v>
      </c>
      <c r="I156" s="15" t="s">
        <v>883</v>
      </c>
      <c r="J156" s="15" t="s">
        <v>892</v>
      </c>
      <c r="K156" s="15" t="s">
        <v>885</v>
      </c>
      <c r="L156" s="15">
        <v>102</v>
      </c>
    </row>
    <row r="157" spans="5:12" x14ac:dyDescent="0.25">
      <c r="E157" s="15" t="s">
        <v>1420</v>
      </c>
      <c r="F157" s="14" t="s">
        <v>1479</v>
      </c>
      <c r="G157" s="20">
        <v>16606.419999999998</v>
      </c>
      <c r="H157" s="15" t="s">
        <v>875</v>
      </c>
      <c r="I157" s="15" t="s">
        <v>883</v>
      </c>
      <c r="J157" s="15" t="s">
        <v>880</v>
      </c>
      <c r="K157" s="15" t="s">
        <v>889</v>
      </c>
      <c r="L157" s="15">
        <v>102</v>
      </c>
    </row>
    <row r="158" spans="5:12" x14ac:dyDescent="0.25">
      <c r="E158" s="15" t="s">
        <v>1420</v>
      </c>
      <c r="F158" s="14" t="s">
        <v>1480</v>
      </c>
      <c r="G158" s="20">
        <v>0</v>
      </c>
      <c r="H158" s="15" t="s">
        <v>875</v>
      </c>
      <c r="I158" s="15" t="s">
        <v>883</v>
      </c>
      <c r="J158" s="15" t="s">
        <v>888</v>
      </c>
      <c r="K158" s="15" t="s">
        <v>889</v>
      </c>
      <c r="L158" s="15">
        <v>102</v>
      </c>
    </row>
    <row r="159" spans="5:12" x14ac:dyDescent="0.25">
      <c r="E159" s="15" t="s">
        <v>1482</v>
      </c>
      <c r="F159" s="14" t="s">
        <v>1421</v>
      </c>
      <c r="G159" s="20">
        <v>2232.15</v>
      </c>
      <c r="H159" s="15" t="s">
        <v>971</v>
      </c>
      <c r="I159" s="15" t="s">
        <v>879</v>
      </c>
      <c r="J159" s="15" t="s">
        <v>880</v>
      </c>
      <c r="K159" s="15" t="s">
        <v>885</v>
      </c>
      <c r="L159" s="15">
        <v>102</v>
      </c>
    </row>
    <row r="160" spans="5:12" x14ac:dyDescent="0.25">
      <c r="E160" s="15" t="s">
        <v>1420</v>
      </c>
      <c r="F160" s="14" t="s">
        <v>1483</v>
      </c>
      <c r="G160" s="20"/>
      <c r="H160" s="15" t="s">
        <v>875</v>
      </c>
      <c r="I160" s="15" t="s">
        <v>21</v>
      </c>
      <c r="J160" s="15" t="s">
        <v>21</v>
      </c>
      <c r="K160" s="15" t="s">
        <v>937</v>
      </c>
      <c r="L160" s="15">
        <v>101</v>
      </c>
    </row>
    <row r="161" spans="5:12" x14ac:dyDescent="0.25">
      <c r="E161" s="15" t="s">
        <v>1420</v>
      </c>
      <c r="F161" s="14" t="s">
        <v>1484</v>
      </c>
      <c r="G161" s="20">
        <v>0</v>
      </c>
      <c r="H161" s="15" t="s">
        <v>875</v>
      </c>
      <c r="I161" s="15" t="s">
        <v>21</v>
      </c>
      <c r="J161" s="15" t="s">
        <v>21</v>
      </c>
      <c r="K161" s="15" t="s">
        <v>1485</v>
      </c>
      <c r="L161" s="15">
        <v>101</v>
      </c>
    </row>
    <row r="162" spans="5:12" x14ac:dyDescent="0.25">
      <c r="E162" s="15" t="s">
        <v>1420</v>
      </c>
      <c r="F162" s="14" t="s">
        <v>1486</v>
      </c>
      <c r="G162" s="20">
        <v>-41766</v>
      </c>
      <c r="H162" s="15" t="s">
        <v>875</v>
      </c>
      <c r="I162" s="15" t="s">
        <v>21</v>
      </c>
      <c r="J162" s="15" t="s">
        <v>21</v>
      </c>
      <c r="K162" s="15" t="s">
        <v>945</v>
      </c>
      <c r="L162" s="15">
        <v>101</v>
      </c>
    </row>
    <row r="163" spans="5:12" x14ac:dyDescent="0.25">
      <c r="E163" s="15" t="s">
        <v>1420</v>
      </c>
      <c r="F163" s="14" t="s">
        <v>1487</v>
      </c>
      <c r="G163" s="20">
        <v>-124003</v>
      </c>
      <c r="H163" s="15" t="s">
        <v>875</v>
      </c>
      <c r="I163" s="15" t="s">
        <v>21</v>
      </c>
      <c r="J163" s="15" t="s">
        <v>21</v>
      </c>
      <c r="K163" s="15" t="s">
        <v>945</v>
      </c>
      <c r="L163" s="15">
        <v>101</v>
      </c>
    </row>
    <row r="164" spans="5:12" x14ac:dyDescent="0.25">
      <c r="E164" s="15" t="s">
        <v>1420</v>
      </c>
      <c r="F164" s="14" t="s">
        <v>1488</v>
      </c>
      <c r="G164" s="20">
        <v>-4320</v>
      </c>
      <c r="H164" s="15" t="s">
        <v>875</v>
      </c>
      <c r="I164" s="15" t="s">
        <v>21</v>
      </c>
      <c r="J164" s="15" t="s">
        <v>21</v>
      </c>
      <c r="K164" s="15" t="s">
        <v>945</v>
      </c>
      <c r="L164" s="15">
        <v>101</v>
      </c>
    </row>
    <row r="165" spans="5:12" x14ac:dyDescent="0.25">
      <c r="E165" s="15" t="s">
        <v>1420</v>
      </c>
      <c r="F165" s="14" t="s">
        <v>1489</v>
      </c>
      <c r="G165" s="20">
        <v>0</v>
      </c>
      <c r="H165" s="15" t="s">
        <v>875</v>
      </c>
      <c r="I165" s="15" t="s">
        <v>21</v>
      </c>
      <c r="J165" s="15" t="s">
        <v>21</v>
      </c>
      <c r="K165" s="15" t="s">
        <v>945</v>
      </c>
      <c r="L165" s="15">
        <v>101</v>
      </c>
    </row>
    <row r="166" spans="5:12" x14ac:dyDescent="0.25">
      <c r="E166" s="15" t="s">
        <v>1420</v>
      </c>
      <c r="F166" s="14" t="s">
        <v>1490</v>
      </c>
      <c r="G166" s="20">
        <v>0</v>
      </c>
      <c r="H166" s="15" t="s">
        <v>875</v>
      </c>
      <c r="I166" s="15" t="s">
        <v>21</v>
      </c>
      <c r="J166" s="15" t="s">
        <v>21</v>
      </c>
      <c r="K166" s="15" t="s">
        <v>945</v>
      </c>
      <c r="L166" s="15">
        <v>101</v>
      </c>
    </row>
    <row r="167" spans="5:12" x14ac:dyDescent="0.25">
      <c r="E167" s="15" t="s">
        <v>1420</v>
      </c>
      <c r="F167" s="14" t="s">
        <v>1491</v>
      </c>
      <c r="G167" s="20">
        <v>0</v>
      </c>
      <c r="H167" s="15" t="s">
        <v>875</v>
      </c>
      <c r="I167" s="15" t="s">
        <v>21</v>
      </c>
      <c r="J167" s="15" t="s">
        <v>21</v>
      </c>
      <c r="K167" s="15" t="s">
        <v>945</v>
      </c>
      <c r="L167" s="15">
        <v>101</v>
      </c>
    </row>
    <row r="168" spans="5:12" x14ac:dyDescent="0.25">
      <c r="E168" s="15" t="s">
        <v>1420</v>
      </c>
      <c r="F168" s="14" t="s">
        <v>1492</v>
      </c>
      <c r="G168" s="20">
        <v>-1050</v>
      </c>
      <c r="H168" s="15" t="s">
        <v>875</v>
      </c>
      <c r="I168" s="15" t="s">
        <v>21</v>
      </c>
      <c r="J168" s="15" t="s">
        <v>21</v>
      </c>
      <c r="K168" s="15" t="s">
        <v>945</v>
      </c>
      <c r="L168" s="15">
        <v>101</v>
      </c>
    </row>
    <row r="169" spans="5:12" x14ac:dyDescent="0.25">
      <c r="E169" s="15" t="s">
        <v>1420</v>
      </c>
      <c r="F169" s="14" t="s">
        <v>1493</v>
      </c>
      <c r="G169" s="20">
        <v>0</v>
      </c>
      <c r="H169" s="15" t="s">
        <v>875</v>
      </c>
      <c r="I169" s="15" t="s">
        <v>21</v>
      </c>
      <c r="J169" s="15" t="s">
        <v>21</v>
      </c>
      <c r="K169" s="15" t="s">
        <v>945</v>
      </c>
      <c r="L169" s="15">
        <v>101</v>
      </c>
    </row>
    <row r="170" spans="5:12" x14ac:dyDescent="0.25">
      <c r="E170" s="15" t="s">
        <v>1420</v>
      </c>
      <c r="F170" s="14" t="s">
        <v>1494</v>
      </c>
      <c r="G170" s="20">
        <v>-61.91</v>
      </c>
      <c r="H170" s="15" t="s">
        <v>875</v>
      </c>
      <c r="I170" s="15" t="s">
        <v>21</v>
      </c>
      <c r="J170" s="15" t="s">
        <v>21</v>
      </c>
      <c r="K170" s="15" t="s">
        <v>945</v>
      </c>
      <c r="L170" s="15">
        <v>101</v>
      </c>
    </row>
    <row r="171" spans="5:12" x14ac:dyDescent="0.25">
      <c r="E171" s="15" t="s">
        <v>1420</v>
      </c>
      <c r="F171" s="14" t="s">
        <v>1495</v>
      </c>
      <c r="G171" s="20">
        <v>-47377.7</v>
      </c>
      <c r="H171" s="15" t="s">
        <v>875</v>
      </c>
      <c r="I171" s="15" t="s">
        <v>21</v>
      </c>
      <c r="J171" s="15" t="s">
        <v>21</v>
      </c>
      <c r="K171" s="15" t="s">
        <v>949</v>
      </c>
      <c r="L171" s="15">
        <v>101</v>
      </c>
    </row>
    <row r="172" spans="5:12" x14ac:dyDescent="0.25">
      <c r="E172" s="15" t="s">
        <v>1420</v>
      </c>
      <c r="F172" s="14" t="s">
        <v>1496</v>
      </c>
      <c r="G172" s="20">
        <v>-7720</v>
      </c>
      <c r="H172" s="15" t="s">
        <v>875</v>
      </c>
      <c r="I172" s="15" t="s">
        <v>21</v>
      </c>
      <c r="J172" s="15" t="s">
        <v>21</v>
      </c>
      <c r="K172" s="15" t="s">
        <v>949</v>
      </c>
      <c r="L172" s="15">
        <v>101</v>
      </c>
    </row>
    <row r="173" spans="5:12" x14ac:dyDescent="0.25">
      <c r="E173" s="15" t="s">
        <v>1420</v>
      </c>
      <c r="F173" s="14" t="s">
        <v>1497</v>
      </c>
      <c r="G173" s="20">
        <v>0</v>
      </c>
      <c r="H173" s="15" t="s">
        <v>875</v>
      </c>
      <c r="I173" s="15" t="s">
        <v>21</v>
      </c>
      <c r="J173" s="15" t="s">
        <v>21</v>
      </c>
      <c r="K173" s="15" t="s">
        <v>949</v>
      </c>
      <c r="L173" s="15">
        <v>101</v>
      </c>
    </row>
    <row r="174" spans="5:12" x14ac:dyDescent="0.25">
      <c r="E174" s="15" t="s">
        <v>1420</v>
      </c>
      <c r="F174" s="14" t="s">
        <v>1498</v>
      </c>
      <c r="G174" s="20">
        <v>-13912.5</v>
      </c>
      <c r="H174" s="15" t="s">
        <v>875</v>
      </c>
      <c r="I174" s="15" t="s">
        <v>21</v>
      </c>
      <c r="J174" s="15" t="s">
        <v>21</v>
      </c>
      <c r="K174" s="15" t="s">
        <v>949</v>
      </c>
      <c r="L174" s="15">
        <v>101</v>
      </c>
    </row>
    <row r="175" spans="5:12" x14ac:dyDescent="0.25">
      <c r="E175" s="15" t="s">
        <v>1420</v>
      </c>
      <c r="F175" s="14" t="s">
        <v>1499</v>
      </c>
      <c r="G175" s="20">
        <v>-119096.8</v>
      </c>
      <c r="H175" s="15" t="s">
        <v>875</v>
      </c>
      <c r="I175" s="15" t="s">
        <v>21</v>
      </c>
      <c r="J175" s="15" t="s">
        <v>21</v>
      </c>
      <c r="K175" s="15" t="s">
        <v>949</v>
      </c>
      <c r="L175" s="15">
        <v>101</v>
      </c>
    </row>
    <row r="176" spans="5:12" x14ac:dyDescent="0.25">
      <c r="E176" s="15" t="s">
        <v>1420</v>
      </c>
      <c r="F176" s="14" t="s">
        <v>1500</v>
      </c>
      <c r="G176" s="20">
        <v>-40230</v>
      </c>
      <c r="H176" s="15" t="s">
        <v>875</v>
      </c>
      <c r="I176" s="15" t="s">
        <v>21</v>
      </c>
      <c r="J176" s="15" t="s">
        <v>21</v>
      </c>
      <c r="K176" s="15" t="s">
        <v>949</v>
      </c>
      <c r="L176" s="15">
        <v>101</v>
      </c>
    </row>
    <row r="177" spans="5:12" x14ac:dyDescent="0.25">
      <c r="E177" s="15" t="s">
        <v>1420</v>
      </c>
      <c r="F177" s="14" t="s">
        <v>1501</v>
      </c>
      <c r="G177" s="20">
        <v>-5400</v>
      </c>
      <c r="H177" s="15" t="s">
        <v>875</v>
      </c>
      <c r="I177" s="15" t="s">
        <v>21</v>
      </c>
      <c r="J177" s="15" t="s">
        <v>21</v>
      </c>
      <c r="K177" s="15" t="s">
        <v>949</v>
      </c>
      <c r="L177" s="15">
        <v>101</v>
      </c>
    </row>
    <row r="178" spans="5:12" x14ac:dyDescent="0.25">
      <c r="E178" s="15" t="s">
        <v>1420</v>
      </c>
      <c r="F178" s="14" t="s">
        <v>1502</v>
      </c>
      <c r="G178" s="20">
        <v>-4547</v>
      </c>
      <c r="H178" s="15" t="s">
        <v>875</v>
      </c>
      <c r="I178" s="15" t="s">
        <v>21</v>
      </c>
      <c r="J178" s="15" t="s">
        <v>21</v>
      </c>
      <c r="K178" s="15" t="s">
        <v>949</v>
      </c>
      <c r="L178" s="15">
        <v>101</v>
      </c>
    </row>
    <row r="179" spans="5:12" x14ac:dyDescent="0.25">
      <c r="E179" s="15" t="s">
        <v>1420</v>
      </c>
      <c r="F179" s="14" t="s">
        <v>1503</v>
      </c>
      <c r="G179" s="20">
        <v>-39423.49</v>
      </c>
      <c r="H179" s="15" t="s">
        <v>875</v>
      </c>
      <c r="I179" s="15" t="s">
        <v>21</v>
      </c>
      <c r="J179" s="15" t="s">
        <v>21</v>
      </c>
      <c r="K179" s="15" t="s">
        <v>1485</v>
      </c>
      <c r="L179" s="15">
        <v>101</v>
      </c>
    </row>
    <row r="180" spans="5:12" x14ac:dyDescent="0.25">
      <c r="E180" s="15" t="s">
        <v>1420</v>
      </c>
      <c r="F180" s="14" t="s">
        <v>1504</v>
      </c>
      <c r="G180" s="20">
        <v>-14982807.09</v>
      </c>
      <c r="H180" s="15" t="s">
        <v>875</v>
      </c>
      <c r="I180" s="15" t="s">
        <v>21</v>
      </c>
      <c r="J180" s="15" t="s">
        <v>21</v>
      </c>
      <c r="K180" s="15" t="s">
        <v>964</v>
      </c>
      <c r="L180" s="15">
        <v>101</v>
      </c>
    </row>
    <row r="181" spans="5:12" x14ac:dyDescent="0.25">
      <c r="E181" s="15" t="s">
        <v>1420</v>
      </c>
      <c r="F181" s="14" t="s">
        <v>1505</v>
      </c>
      <c r="G181" s="20">
        <v>-153538.71</v>
      </c>
      <c r="H181" s="15" t="s">
        <v>875</v>
      </c>
      <c r="I181" s="15" t="s">
        <v>21</v>
      </c>
      <c r="J181" s="15" t="s">
        <v>21</v>
      </c>
      <c r="K181" s="15" t="s">
        <v>966</v>
      </c>
      <c r="L181" s="15">
        <v>101</v>
      </c>
    </row>
    <row r="182" spans="5:12" x14ac:dyDescent="0.25">
      <c r="E182" s="14" t="s">
        <v>1414</v>
      </c>
      <c r="F182" s="14" t="s">
        <v>1506</v>
      </c>
      <c r="G182" s="20">
        <v>-124963.85</v>
      </c>
      <c r="H182" s="15" t="s">
        <v>878</v>
      </c>
      <c r="I182" s="15" t="s">
        <v>21</v>
      </c>
      <c r="J182" s="15" t="s">
        <v>21</v>
      </c>
      <c r="K182" s="15" t="s">
        <v>968</v>
      </c>
      <c r="L182" s="15">
        <v>101</v>
      </c>
    </row>
    <row r="183" spans="5:12" x14ac:dyDescent="0.25">
      <c r="E183" s="14" t="s">
        <v>1399</v>
      </c>
      <c r="F183" s="14" t="s">
        <v>1507</v>
      </c>
      <c r="G183" s="20">
        <v>-1527643.69</v>
      </c>
      <c r="H183" s="15" t="s">
        <v>876</v>
      </c>
      <c r="I183" s="15" t="s">
        <v>21</v>
      </c>
      <c r="J183" s="15" t="s">
        <v>21</v>
      </c>
      <c r="K183" s="15" t="s">
        <v>968</v>
      </c>
      <c r="L183" s="15">
        <v>101</v>
      </c>
    </row>
    <row r="184" spans="5:12" x14ac:dyDescent="0.25">
      <c r="E184" s="14" t="s">
        <v>1482</v>
      </c>
      <c r="F184" s="14" t="s">
        <v>1508</v>
      </c>
      <c r="G184" s="20">
        <v>0</v>
      </c>
      <c r="H184" s="15" t="s">
        <v>971</v>
      </c>
      <c r="I184" s="15" t="s">
        <v>21</v>
      </c>
      <c r="J184" s="15" t="s">
        <v>21</v>
      </c>
      <c r="K184" s="15" t="s">
        <v>968</v>
      </c>
      <c r="L184" s="15">
        <v>101</v>
      </c>
    </row>
    <row r="185" spans="5:12" x14ac:dyDescent="0.25">
      <c r="E185" s="15" t="s">
        <v>1420</v>
      </c>
      <c r="F185" s="14" t="s">
        <v>1483</v>
      </c>
      <c r="G185" s="20"/>
      <c r="H185" s="15" t="s">
        <v>875</v>
      </c>
      <c r="I185" s="15" t="s">
        <v>21</v>
      </c>
      <c r="J185" s="15" t="s">
        <v>21</v>
      </c>
      <c r="K185" s="15" t="s">
        <v>937</v>
      </c>
      <c r="L185" s="15">
        <v>102</v>
      </c>
    </row>
    <row r="186" spans="5:12" x14ac:dyDescent="0.25">
      <c r="E186" s="15" t="s">
        <v>1420</v>
      </c>
      <c r="F186" s="14" t="s">
        <v>1484</v>
      </c>
      <c r="G186" s="20">
        <v>-157763.51999999999</v>
      </c>
      <c r="H186" s="15" t="s">
        <v>875</v>
      </c>
      <c r="I186" s="15" t="s">
        <v>21</v>
      </c>
      <c r="J186" s="15" t="s">
        <v>21</v>
      </c>
      <c r="K186" s="15" t="s">
        <v>1485</v>
      </c>
      <c r="L186" s="15">
        <v>102</v>
      </c>
    </row>
    <row r="187" spans="5:12" x14ac:dyDescent="0.25">
      <c r="E187" s="15" t="s">
        <v>1420</v>
      </c>
      <c r="F187" s="14" t="s">
        <v>1486</v>
      </c>
      <c r="G187" s="20">
        <v>-74675.27</v>
      </c>
      <c r="H187" s="15" t="s">
        <v>875</v>
      </c>
      <c r="I187" s="15" t="s">
        <v>21</v>
      </c>
      <c r="J187" s="15" t="s">
        <v>21</v>
      </c>
      <c r="K187" s="15" t="s">
        <v>945</v>
      </c>
      <c r="L187" s="15">
        <v>102</v>
      </c>
    </row>
    <row r="188" spans="5:12" x14ac:dyDescent="0.25">
      <c r="E188" s="15" t="s">
        <v>1420</v>
      </c>
      <c r="F188" s="14" t="s">
        <v>1487</v>
      </c>
      <c r="G188" s="20">
        <v>-77774.45</v>
      </c>
      <c r="H188" s="15" t="s">
        <v>875</v>
      </c>
      <c r="I188" s="15" t="s">
        <v>21</v>
      </c>
      <c r="J188" s="15" t="s">
        <v>21</v>
      </c>
      <c r="K188" s="15" t="s">
        <v>945</v>
      </c>
      <c r="L188" s="15">
        <v>102</v>
      </c>
    </row>
    <row r="189" spans="5:12" x14ac:dyDescent="0.25">
      <c r="E189" s="15" t="s">
        <v>1420</v>
      </c>
      <c r="F189" s="770" t="s">
        <v>1510</v>
      </c>
      <c r="G189" s="20">
        <v>-496</v>
      </c>
      <c r="H189" s="15" t="s">
        <v>875</v>
      </c>
      <c r="I189" s="15" t="s">
        <v>21</v>
      </c>
      <c r="J189" s="15" t="s">
        <v>21</v>
      </c>
      <c r="K189" s="15" t="s">
        <v>945</v>
      </c>
      <c r="L189" s="15">
        <v>102</v>
      </c>
    </row>
    <row r="190" spans="5:12" x14ac:dyDescent="0.25">
      <c r="E190" s="15" t="s">
        <v>1420</v>
      </c>
      <c r="F190" s="14" t="s">
        <v>1488</v>
      </c>
      <c r="G190" s="20">
        <v>0</v>
      </c>
      <c r="H190" s="15" t="s">
        <v>875</v>
      </c>
      <c r="I190" s="15" t="s">
        <v>21</v>
      </c>
      <c r="J190" s="15" t="s">
        <v>21</v>
      </c>
      <c r="K190" s="15" t="s">
        <v>945</v>
      </c>
      <c r="L190" s="15">
        <v>102</v>
      </c>
    </row>
    <row r="191" spans="5:12" x14ac:dyDescent="0.25">
      <c r="E191" s="15" t="s">
        <v>1420</v>
      </c>
      <c r="F191" s="14" t="s">
        <v>1489</v>
      </c>
      <c r="G191" s="20">
        <v>-1100</v>
      </c>
      <c r="H191" s="15" t="s">
        <v>875</v>
      </c>
      <c r="I191" s="15" t="s">
        <v>21</v>
      </c>
      <c r="J191" s="15" t="s">
        <v>21</v>
      </c>
      <c r="K191" s="15" t="s">
        <v>945</v>
      </c>
      <c r="L191" s="15">
        <v>102</v>
      </c>
    </row>
    <row r="192" spans="5:12" x14ac:dyDescent="0.25">
      <c r="E192" s="15" t="s">
        <v>1420</v>
      </c>
      <c r="F192" s="14" t="s">
        <v>1490</v>
      </c>
      <c r="G192" s="20">
        <v>-39</v>
      </c>
      <c r="H192" s="15" t="s">
        <v>875</v>
      </c>
      <c r="I192" s="15" t="s">
        <v>21</v>
      </c>
      <c r="J192" s="15" t="s">
        <v>21</v>
      </c>
      <c r="K192" s="15" t="s">
        <v>945</v>
      </c>
      <c r="L192" s="15">
        <v>102</v>
      </c>
    </row>
    <row r="193" spans="5:12" x14ac:dyDescent="0.25">
      <c r="E193" s="15" t="s">
        <v>1420</v>
      </c>
      <c r="F193" s="14" t="s">
        <v>1491</v>
      </c>
      <c r="G193" s="20">
        <v>-2520</v>
      </c>
      <c r="H193" s="15" t="s">
        <v>875</v>
      </c>
      <c r="I193" s="15" t="s">
        <v>21</v>
      </c>
      <c r="J193" s="15" t="s">
        <v>21</v>
      </c>
      <c r="K193" s="15" t="s">
        <v>945</v>
      </c>
      <c r="L193" s="15">
        <v>102</v>
      </c>
    </row>
    <row r="194" spans="5:12" x14ac:dyDescent="0.25">
      <c r="E194" s="15" t="s">
        <v>1420</v>
      </c>
      <c r="F194" s="14" t="s">
        <v>1492</v>
      </c>
      <c r="G194" s="20">
        <v>-16660</v>
      </c>
      <c r="H194" s="15" t="s">
        <v>875</v>
      </c>
      <c r="I194" s="15" t="s">
        <v>21</v>
      </c>
      <c r="J194" s="15" t="s">
        <v>21</v>
      </c>
      <c r="K194" s="15" t="s">
        <v>945</v>
      </c>
      <c r="L194" s="15">
        <v>102</v>
      </c>
    </row>
    <row r="195" spans="5:12" x14ac:dyDescent="0.25">
      <c r="E195" s="15" t="s">
        <v>1420</v>
      </c>
      <c r="F195" s="14" t="s">
        <v>1493</v>
      </c>
      <c r="G195" s="20">
        <v>-431</v>
      </c>
      <c r="H195" s="15" t="s">
        <v>875</v>
      </c>
      <c r="I195" s="15" t="s">
        <v>21</v>
      </c>
      <c r="J195" s="15" t="s">
        <v>21</v>
      </c>
      <c r="K195" s="15" t="s">
        <v>945</v>
      </c>
      <c r="L195" s="15">
        <v>102</v>
      </c>
    </row>
    <row r="196" spans="5:12" x14ac:dyDescent="0.25">
      <c r="E196" s="15" t="s">
        <v>1420</v>
      </c>
      <c r="F196" s="14" t="s">
        <v>1494</v>
      </c>
      <c r="G196" s="20">
        <v>0</v>
      </c>
      <c r="H196" s="15" t="s">
        <v>875</v>
      </c>
      <c r="I196" s="15" t="s">
        <v>21</v>
      </c>
      <c r="J196" s="15" t="s">
        <v>21</v>
      </c>
      <c r="K196" s="15" t="s">
        <v>945</v>
      </c>
      <c r="L196" s="15">
        <v>102</v>
      </c>
    </row>
    <row r="197" spans="5:12" x14ac:dyDescent="0.25">
      <c r="E197" s="15" t="s">
        <v>1420</v>
      </c>
      <c r="F197" s="14" t="s">
        <v>1495</v>
      </c>
      <c r="G197" s="20">
        <v>-44790.28</v>
      </c>
      <c r="H197" s="15" t="s">
        <v>875</v>
      </c>
      <c r="I197" s="15" t="s">
        <v>21</v>
      </c>
      <c r="J197" s="15" t="s">
        <v>21</v>
      </c>
      <c r="K197" s="15" t="s">
        <v>949</v>
      </c>
      <c r="L197" s="15">
        <v>102</v>
      </c>
    </row>
    <row r="198" spans="5:12" x14ac:dyDescent="0.25">
      <c r="E198" s="15" t="s">
        <v>1420</v>
      </c>
      <c r="F198" s="14" t="s">
        <v>1496</v>
      </c>
      <c r="G198" s="20">
        <v>0</v>
      </c>
      <c r="H198" s="15" t="s">
        <v>875</v>
      </c>
      <c r="I198" s="15" t="s">
        <v>21</v>
      </c>
      <c r="J198" s="15" t="s">
        <v>21</v>
      </c>
      <c r="K198" s="15" t="s">
        <v>949</v>
      </c>
      <c r="L198" s="15">
        <v>102</v>
      </c>
    </row>
    <row r="199" spans="5:12" x14ac:dyDescent="0.25">
      <c r="E199" s="15" t="s">
        <v>1420</v>
      </c>
      <c r="F199" s="14" t="s">
        <v>1497</v>
      </c>
      <c r="G199" s="20">
        <v>-3469</v>
      </c>
      <c r="H199" s="15" t="s">
        <v>875</v>
      </c>
      <c r="I199" s="15" t="s">
        <v>21</v>
      </c>
      <c r="J199" s="15" t="s">
        <v>21</v>
      </c>
      <c r="K199" s="15" t="s">
        <v>949</v>
      </c>
      <c r="L199" s="15">
        <v>102</v>
      </c>
    </row>
    <row r="200" spans="5:12" x14ac:dyDescent="0.25">
      <c r="E200" s="15" t="s">
        <v>1420</v>
      </c>
      <c r="F200" s="14" t="s">
        <v>1498</v>
      </c>
      <c r="G200" s="20">
        <v>-29382.5</v>
      </c>
      <c r="H200" s="15" t="s">
        <v>875</v>
      </c>
      <c r="I200" s="15" t="s">
        <v>21</v>
      </c>
      <c r="J200" s="15" t="s">
        <v>21</v>
      </c>
      <c r="K200" s="15" t="s">
        <v>949</v>
      </c>
      <c r="L200" s="15">
        <v>102</v>
      </c>
    </row>
    <row r="201" spans="5:12" x14ac:dyDescent="0.25">
      <c r="E201" s="15" t="s">
        <v>1420</v>
      </c>
      <c r="F201" s="14" t="s">
        <v>1499</v>
      </c>
      <c r="G201" s="20">
        <v>-77775</v>
      </c>
      <c r="H201" s="15" t="s">
        <v>875</v>
      </c>
      <c r="I201" s="15" t="s">
        <v>21</v>
      </c>
      <c r="J201" s="15" t="s">
        <v>21</v>
      </c>
      <c r="K201" s="15" t="s">
        <v>949</v>
      </c>
      <c r="L201" s="15">
        <v>102</v>
      </c>
    </row>
    <row r="202" spans="5:12" x14ac:dyDescent="0.25">
      <c r="E202" s="15" t="s">
        <v>1420</v>
      </c>
      <c r="F202" s="14" t="s">
        <v>1500</v>
      </c>
      <c r="G202" s="20">
        <v>-14485</v>
      </c>
      <c r="H202" s="15" t="s">
        <v>875</v>
      </c>
      <c r="I202" s="15" t="s">
        <v>21</v>
      </c>
      <c r="J202" s="15" t="s">
        <v>21</v>
      </c>
      <c r="K202" s="15" t="s">
        <v>949</v>
      </c>
      <c r="L202" s="15">
        <v>102</v>
      </c>
    </row>
    <row r="203" spans="5:12" x14ac:dyDescent="0.25">
      <c r="E203" s="15" t="s">
        <v>1420</v>
      </c>
      <c r="F203" s="14" t="s">
        <v>1501</v>
      </c>
      <c r="G203" s="20">
        <v>0</v>
      </c>
      <c r="H203" s="15" t="s">
        <v>875</v>
      </c>
      <c r="I203" s="15" t="s">
        <v>21</v>
      </c>
      <c r="J203" s="15" t="s">
        <v>21</v>
      </c>
      <c r="K203" s="15" t="s">
        <v>949</v>
      </c>
      <c r="L203" s="15">
        <v>102</v>
      </c>
    </row>
    <row r="204" spans="5:12" x14ac:dyDescent="0.25">
      <c r="E204" s="15" t="s">
        <v>1420</v>
      </c>
      <c r="F204" s="14" t="s">
        <v>1502</v>
      </c>
      <c r="G204" s="20">
        <v>-10043</v>
      </c>
      <c r="H204" s="15" t="s">
        <v>875</v>
      </c>
      <c r="I204" s="15" t="s">
        <v>21</v>
      </c>
      <c r="J204" s="15" t="s">
        <v>21</v>
      </c>
      <c r="K204" s="15" t="s">
        <v>949</v>
      </c>
      <c r="L204" s="15">
        <v>102</v>
      </c>
    </row>
    <row r="205" spans="5:12" x14ac:dyDescent="0.25">
      <c r="E205" s="15" t="s">
        <v>1420</v>
      </c>
      <c r="F205" s="14" t="s">
        <v>1503</v>
      </c>
      <c r="G205" s="20">
        <v>-116194.65</v>
      </c>
      <c r="H205" s="15" t="s">
        <v>875</v>
      </c>
      <c r="I205" s="15" t="s">
        <v>21</v>
      </c>
      <c r="J205" s="15" t="s">
        <v>21</v>
      </c>
      <c r="K205" s="15" t="s">
        <v>1485</v>
      </c>
      <c r="L205" s="15">
        <v>102</v>
      </c>
    </row>
    <row r="206" spans="5:12" x14ac:dyDescent="0.25">
      <c r="E206" s="15" t="s">
        <v>1420</v>
      </c>
      <c r="F206" s="14" t="s">
        <v>1504</v>
      </c>
      <c r="G206" s="20">
        <v>-11216960.17</v>
      </c>
      <c r="H206" s="15" t="s">
        <v>875</v>
      </c>
      <c r="I206" s="15" t="s">
        <v>21</v>
      </c>
      <c r="J206" s="15" t="s">
        <v>21</v>
      </c>
      <c r="K206" s="15" t="s">
        <v>964</v>
      </c>
      <c r="L206" s="15">
        <v>102</v>
      </c>
    </row>
    <row r="207" spans="5:12" x14ac:dyDescent="0.25">
      <c r="E207" s="15" t="s">
        <v>1420</v>
      </c>
      <c r="F207" s="14" t="s">
        <v>1509</v>
      </c>
      <c r="G207" s="20">
        <v>-114609.95</v>
      </c>
      <c r="H207" s="15" t="s">
        <v>875</v>
      </c>
      <c r="I207" s="15" t="s">
        <v>21</v>
      </c>
      <c r="J207" s="15" t="s">
        <v>21</v>
      </c>
      <c r="K207" s="15" t="s">
        <v>966</v>
      </c>
      <c r="L207" s="15">
        <v>102</v>
      </c>
    </row>
    <row r="208" spans="5:12" x14ac:dyDescent="0.25">
      <c r="E208" s="14" t="s">
        <v>1414</v>
      </c>
      <c r="F208" s="14" t="s">
        <v>1506</v>
      </c>
      <c r="G208" s="20">
        <v>-93542.36</v>
      </c>
      <c r="H208" s="15" t="s">
        <v>878</v>
      </c>
      <c r="I208" s="15" t="s">
        <v>21</v>
      </c>
      <c r="J208" s="15" t="s">
        <v>21</v>
      </c>
      <c r="K208" s="15" t="s">
        <v>968</v>
      </c>
      <c r="L208" s="15">
        <v>102</v>
      </c>
    </row>
    <row r="209" spans="5:12" x14ac:dyDescent="0.25">
      <c r="E209" s="14" t="s">
        <v>1399</v>
      </c>
      <c r="F209" s="14" t="s">
        <v>1507</v>
      </c>
      <c r="G209" s="20">
        <v>-1143701.8899999999</v>
      </c>
      <c r="H209" s="15" t="s">
        <v>876</v>
      </c>
      <c r="I209" s="15" t="s">
        <v>21</v>
      </c>
      <c r="J209" s="15" t="s">
        <v>21</v>
      </c>
      <c r="K209" s="15" t="s">
        <v>968</v>
      </c>
      <c r="L209" s="15">
        <v>102</v>
      </c>
    </row>
    <row r="210" spans="5:12" x14ac:dyDescent="0.25">
      <c r="E210" s="14" t="s">
        <v>1482</v>
      </c>
      <c r="F210" s="14" t="s">
        <v>1508</v>
      </c>
      <c r="G210" s="20">
        <v>-2232.15</v>
      </c>
      <c r="H210" s="15" t="s">
        <v>971</v>
      </c>
      <c r="I210" s="15" t="s">
        <v>21</v>
      </c>
      <c r="J210" s="15" t="s">
        <v>21</v>
      </c>
      <c r="K210" s="15" t="s">
        <v>968</v>
      </c>
      <c r="L210" s="15">
        <v>102</v>
      </c>
    </row>
    <row r="211" spans="5:12" x14ac:dyDescent="0.25">
      <c r="E211" s="14" t="s">
        <v>1414</v>
      </c>
      <c r="F211" s="14" t="s">
        <v>1506</v>
      </c>
      <c r="G211" s="20">
        <v>-3485.57</v>
      </c>
      <c r="H211" s="15" t="s">
        <v>878</v>
      </c>
      <c r="I211" s="15" t="s">
        <v>21</v>
      </c>
      <c r="J211" s="15" t="s">
        <v>21</v>
      </c>
      <c r="K211" s="15" t="s">
        <v>968</v>
      </c>
      <c r="L211" s="15">
        <v>103</v>
      </c>
    </row>
    <row r="212" spans="5:12" x14ac:dyDescent="0.25">
      <c r="E212" s="14" t="s">
        <v>1399</v>
      </c>
      <c r="F212" s="14" t="s">
        <v>1507</v>
      </c>
      <c r="G212" s="20">
        <v>-42684.35</v>
      </c>
      <c r="H212" s="15" t="s">
        <v>876</v>
      </c>
      <c r="I212" s="15" t="s">
        <v>21</v>
      </c>
      <c r="J212" s="15" t="s">
        <v>21</v>
      </c>
      <c r="K212" s="15" t="s">
        <v>968</v>
      </c>
      <c r="L212" s="15">
        <v>103</v>
      </c>
    </row>
    <row r="213" spans="5:12" x14ac:dyDescent="0.25">
      <c r="E213" s="15" t="s">
        <v>1420</v>
      </c>
      <c r="F213" s="14" t="s">
        <v>1504</v>
      </c>
      <c r="G213" s="20">
        <v>-418654.96</v>
      </c>
      <c r="H213" s="15" t="s">
        <v>875</v>
      </c>
      <c r="I213" s="15" t="s">
        <v>21</v>
      </c>
      <c r="J213" s="15" t="s">
        <v>21</v>
      </c>
      <c r="K213" s="15" t="s">
        <v>964</v>
      </c>
      <c r="L213" s="15">
        <v>103</v>
      </c>
    </row>
    <row r="214" spans="5:12" x14ac:dyDescent="0.25">
      <c r="E214" s="15" t="s">
        <v>1420</v>
      </c>
      <c r="F214" s="14" t="s">
        <v>1509</v>
      </c>
      <c r="G214" s="20">
        <v>-4303.12</v>
      </c>
      <c r="H214" s="15" t="s">
        <v>875</v>
      </c>
      <c r="I214" s="15" t="s">
        <v>21</v>
      </c>
      <c r="J214" s="15" t="s">
        <v>21</v>
      </c>
      <c r="K214" s="15" t="s">
        <v>966</v>
      </c>
      <c r="L214" s="15">
        <v>103</v>
      </c>
    </row>
    <row r="215" spans="5:12" x14ac:dyDescent="0.25">
      <c r="E215" s="15"/>
      <c r="F215" s="14" t="s">
        <v>1503</v>
      </c>
      <c r="G215" s="20">
        <v>-600</v>
      </c>
      <c r="H215" s="15" t="s">
        <v>875</v>
      </c>
      <c r="I215" s="15" t="s">
        <v>21</v>
      </c>
      <c r="J215" s="15" t="s">
        <v>21</v>
      </c>
      <c r="K215" s="15" t="s">
        <v>1485</v>
      </c>
      <c r="L215" s="15">
        <v>103</v>
      </c>
    </row>
    <row r="216" spans="5:12" x14ac:dyDescent="0.25">
      <c r="G216" s="21">
        <v>196037.36</v>
      </c>
      <c r="H216" s="15" t="s">
        <v>875</v>
      </c>
      <c r="I216" s="15" t="s">
        <v>879</v>
      </c>
      <c r="J216" s="14" t="s">
        <v>880</v>
      </c>
      <c r="K216" s="14" t="s">
        <v>877</v>
      </c>
      <c r="L216" s="15">
        <v>103</v>
      </c>
    </row>
    <row r="217" spans="5:12" x14ac:dyDescent="0.25">
      <c r="G217" s="21">
        <v>5000</v>
      </c>
      <c r="H217" s="15" t="s">
        <v>875</v>
      </c>
      <c r="I217" s="15" t="s">
        <v>879</v>
      </c>
      <c r="J217" s="14" t="s">
        <v>908</v>
      </c>
      <c r="K217" s="14" t="s">
        <v>877</v>
      </c>
      <c r="L217" s="15">
        <v>103</v>
      </c>
    </row>
    <row r="218" spans="5:12" x14ac:dyDescent="0.25">
      <c r="G218" s="21">
        <v>37977.15</v>
      </c>
      <c r="H218" s="15" t="s">
        <v>875</v>
      </c>
      <c r="I218" s="15" t="s">
        <v>879</v>
      </c>
      <c r="J218" s="14" t="s">
        <v>880</v>
      </c>
      <c r="K218" s="14" t="s">
        <v>881</v>
      </c>
      <c r="L218" s="15">
        <v>103</v>
      </c>
    </row>
    <row r="219" spans="5:12" x14ac:dyDescent="0.25">
      <c r="G219" s="21">
        <v>996</v>
      </c>
      <c r="H219" s="15" t="s">
        <v>875</v>
      </c>
      <c r="I219" s="15" t="s">
        <v>879</v>
      </c>
      <c r="J219" s="14" t="s">
        <v>908</v>
      </c>
      <c r="K219" s="14" t="s">
        <v>881</v>
      </c>
      <c r="L219" s="15">
        <v>103</v>
      </c>
    </row>
    <row r="220" spans="5:12" x14ac:dyDescent="0.25">
      <c r="G220" s="21">
        <v>778</v>
      </c>
      <c r="H220" s="15" t="s">
        <v>875</v>
      </c>
      <c r="I220" s="15" t="s">
        <v>879</v>
      </c>
      <c r="J220" s="14" t="s">
        <v>880</v>
      </c>
      <c r="K220" s="14" t="s">
        <v>889</v>
      </c>
      <c r="L220" s="15">
        <v>103</v>
      </c>
    </row>
    <row r="221" spans="5:12" x14ac:dyDescent="0.25">
      <c r="G221" s="21">
        <v>6294.78</v>
      </c>
      <c r="H221" s="15" t="s">
        <v>875</v>
      </c>
      <c r="I221" s="15" t="s">
        <v>879</v>
      </c>
      <c r="J221" s="14" t="s">
        <v>892</v>
      </c>
      <c r="K221" s="14" t="s">
        <v>889</v>
      </c>
      <c r="L221" s="15">
        <v>103</v>
      </c>
    </row>
    <row r="222" spans="5:12" x14ac:dyDescent="0.25">
      <c r="G222" s="21">
        <v>1200</v>
      </c>
      <c r="H222" s="15" t="s">
        <v>875</v>
      </c>
      <c r="I222" s="15" t="s">
        <v>879</v>
      </c>
      <c r="J222" s="15" t="s">
        <v>908</v>
      </c>
      <c r="K222" s="15" t="s">
        <v>897</v>
      </c>
      <c r="L222" s="15">
        <v>103</v>
      </c>
    </row>
  </sheetData>
  <autoFilter ref="A1:L4342"/>
  <conditionalFormatting sqref="E2:E65538">
    <cfRule type="expression" dxfId="13" priority="13" stopIfTrue="1">
      <formula>AND($E2&lt;&gt;#REF!,$E2&gt;0)</formula>
    </cfRule>
  </conditionalFormatting>
  <conditionalFormatting sqref="F2:F65538">
    <cfRule type="expression" dxfId="12" priority="12" stopIfTrue="1">
      <formula>AND($F2&lt;&gt;#REF!,$F2&gt;0)</formula>
    </cfRule>
  </conditionalFormatting>
  <conditionalFormatting sqref="H216:I221">
    <cfRule type="containsBlanks" dxfId="11" priority="1" stopIfTrue="1">
      <formula>LEN(TRIM(H216))=0</formula>
    </cfRule>
  </conditionalFormatting>
  <conditionalFormatting sqref="H222:K222">
    <cfRule type="containsBlanks" dxfId="10" priority="11" stopIfTrue="1">
      <formula>LEN(TRIM(H222))=0</formula>
    </cfRule>
  </conditionalFormatting>
  <conditionalFormatting sqref="H2:L215">
    <cfRule type="containsBlanks" dxfId="9" priority="21" stopIfTrue="1">
      <formula>LEN(TRIM(H2))=0</formula>
    </cfRule>
  </conditionalFormatting>
  <conditionalFormatting sqref="H223:L37002 J216:K221">
    <cfRule type="containsBlanks" dxfId="8" priority="35" stopIfTrue="1">
      <formula>LEN(TRIM(H216))=0</formula>
    </cfRule>
  </conditionalFormatting>
  <conditionalFormatting sqref="I2:I37002">
    <cfRule type="expression" dxfId="7" priority="8" stopIfTrue="1">
      <formula>AND(LEFT($J2,4)="2700",OR(LEFT($I2,2)="Ba",LEFT($I2,2)="Re",LEFT($I2,3)="100",LEFT($I2,1)="2", LEFT($I2,1)="5", LEFT($I2,1)="6", LEFT($I2,3)="700", LEFT($I2,3)="800", LEFT($I2,3)="900"))</formula>
    </cfRule>
    <cfRule type="expression" dxfId="6" priority="9" stopIfTrue="1">
      <formula>AND(LEFT($H2,4)="1072",OR(LEFT($I2,3)="100",LEFT($I2,3)="200",LEFT($I2,3)="260",LEFT($I2,3)="270",LEFT($I2,3)="400", LEFT($I2,3)="430", LEFT($I2,1)="5", LEFT($I2,1)="6", LEFT($I2,3)="700", LEFT($I2,3)="800", LEFT($I2,3)="900"))</formula>
    </cfRule>
    <cfRule type="expression" dxfId="5" priority="10" stopIfTrue="1">
      <formula>AND(LEFT($H2,4)="1071",OR(LEFT($I2,3)="100",LEFT($I2,3)="200",LEFT($I2,3)="265",LEFT($I2,3)="270",LEFT($I2,3)="400", LEFT($I2,3)="435", LEFT($I2,1)="5", LEFT($I2,1)="6", LEFT($I2,3)="700", LEFT($I2,3)="800", LEFT($I2,3)="900"))</formula>
    </cfRule>
  </conditionalFormatting>
  <conditionalFormatting sqref="J2:J37002">
    <cfRule type="expression" dxfId="4" priority="4" stopIfTrue="1">
      <formula>AND(LEFT($K2,3)="682",OR(LEFT($J2,1)="B",LEFT($J2,1)="R",LEFT($J2,1)="1",LEFT($J2,2)="21",LEFT($J2,2)="22",LEFT($J2,2)="24",LEFT($J2,2)="25",LEFT($J2,2)="26",LEFT($J2,2)="27",LEFT($J2,2)="29",LEFT($J2,1)="3",LEFT($J2,1)="4",LEFT($J2,1)="5"))</formula>
    </cfRule>
    <cfRule type="expression" dxfId="3" priority="5" stopIfTrue="1">
      <formula>AND(LEFT($K2,3)="685",OR(LEFT($J2,1)="B",LEFT($J2,1)="R",LEFT($J2,1)="1",LEFT($J2,2)="21",LEFT($J2,2)="22",LEFT($J2,2)="23",LEFT($J2,2)="24",LEFT($J2,2)="26",LEFT($J2,2)="27",LEFT($J2,2)="29",LEFT($J2,1)="3",LEFT($J2,1)="4"))</formula>
    </cfRule>
  </conditionalFormatting>
  <conditionalFormatting sqref="K2:K37002">
    <cfRule type="expression" dxfId="2" priority="6" stopIfTrue="1">
      <formula>AND(OR(LEFT($H2,4)="1071",LEFT($H2,4)="1072"),OR(LEFT($K2,2)="13",LEFT($K2,2)="14",LEFT($K2,2)="16",LEFT($K2,2)="17",LEFT($K2,2)="18",LEFT($K2,2)="19",LEFT($K2,1)="O",LEFT($K2,1)="2",LEFT($K2,2)="31",LEFT($K2,2)="39",LEFT($K2,1)="4"))</formula>
    </cfRule>
    <cfRule type="expression" dxfId="1" priority="7" stopIfTrue="1">
      <formula>AND(LEFT($H2,3)="101",OR(LEFT($K2,2)="13",LEFT($K2,2)="14",LEFT($K2,2)="16",LEFT($K2,2)="17",LEFT($K2,2)="18",LEFT($K2,2)="19",LEFT($K2,1)="O",LEFT($K2,1)="2",LEFT($K2,1)="4"))</formula>
    </cfRule>
  </conditionalFormatting>
  <conditionalFormatting sqref="L216:L222">
    <cfRule type="containsBlanks" dxfId="0" priority="3" stopIfTrue="1">
      <formula>LEN(TRIM(L216))=0</formula>
    </cfRule>
  </conditionalFormatting>
  <dataValidations count="10">
    <dataValidation type="list" allowBlank="1" showInputMessage="1" showErrorMessage="1" sqref="L223:L37002">
      <formula1>$Y$2:$Y$21</formula1>
    </dataValidation>
    <dataValidation type="list" allowBlank="1" showInputMessage="1" showErrorMessage="1" sqref="I223:I37002">
      <formula1>$N$2:$N$21</formula1>
    </dataValidation>
    <dataValidation type="list" allowBlank="1" showInputMessage="1" showErrorMessage="1" sqref="J64 J125 J223:J37002 J216:J221">
      <formula1>$O$2:$O$21</formula1>
    </dataValidation>
    <dataValidation type="list" allowBlank="1" showInputMessage="1" showErrorMessage="1" sqref="H223:H37002">
      <formula1>$M$3:$M$41</formula1>
    </dataValidation>
    <dataValidation type="list" allowBlank="1" showInputMessage="1" showErrorMessage="1" sqref="K223:K37002 K216:K221">
      <formula1>$P$2:$P$44</formula1>
    </dataValidation>
    <dataValidation type="list" allowBlank="1" showInputMessage="1" showErrorMessage="1" sqref="L2:L222">
      <formula1>$Y$2:$Y$19</formula1>
    </dataValidation>
    <dataValidation type="list" allowBlank="1" showInputMessage="1" showErrorMessage="1" sqref="I2:I222">
      <formula1>$N$2:$N$19</formula1>
    </dataValidation>
    <dataValidation type="list" allowBlank="1" showInputMessage="1" showErrorMessage="1" sqref="H2:H222">
      <formula1>$M$3:$M$34</formula1>
    </dataValidation>
    <dataValidation type="list" allowBlank="1" showInputMessage="1" showErrorMessage="1" sqref="K222 K2:K215">
      <formula1>$P$2:$P$34</formula1>
    </dataValidation>
    <dataValidation type="list" allowBlank="1" showInputMessage="1" showErrorMessage="1" sqref="J2:J63 J65:J124 J222 J126:J215">
      <formula1>$O$2:$O$17</formula1>
    </dataValidation>
  </dataValidations>
  <hyperlinks>
    <hyperlink ref="M25:M27" location="ImpactAidandOtherFederalProjects" display="13__ Impact Aid"/>
  </hyperlink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539"/>
  <sheetViews>
    <sheetView showGridLines="0" topLeftCell="A1070" workbookViewId="0">
      <selection activeCell="G29" sqref="G29"/>
    </sheetView>
  </sheetViews>
  <sheetFormatPr defaultColWidth="9.33203125" defaultRowHeight="12.75" x14ac:dyDescent="0.2"/>
  <cols>
    <col min="1" max="1" width="27.33203125" customWidth="1"/>
    <col min="2" max="2" width="24" customWidth="1"/>
    <col min="3" max="3" width="23.33203125" customWidth="1"/>
    <col min="4" max="4" width="28.33203125" customWidth="1"/>
    <col min="5" max="5" width="26.33203125" customWidth="1"/>
  </cols>
  <sheetData>
    <row r="1" spans="1:5" ht="15" x14ac:dyDescent="0.25">
      <c r="A1" s="520" t="s">
        <v>985</v>
      </c>
      <c r="B1" s="520" t="s">
        <v>986</v>
      </c>
      <c r="C1" s="520" t="s">
        <v>987</v>
      </c>
      <c r="D1" s="520" t="s">
        <v>988</v>
      </c>
      <c r="E1" s="521" t="s">
        <v>989</v>
      </c>
    </row>
    <row r="2" spans="1:5" x14ac:dyDescent="0.2">
      <c r="A2" s="522" t="s">
        <v>990</v>
      </c>
      <c r="B2" s="522" t="s">
        <v>990</v>
      </c>
      <c r="C2" s="522">
        <v>1000</v>
      </c>
      <c r="D2" s="522">
        <v>6100</v>
      </c>
      <c r="E2" s="523">
        <f>SUMIFS('Accounting data'!$G$2:$G$37002,'Accounting data'!$J$2:$J$37002,"1*",'Accounting data'!$K$2:$K$37002,"61*")</f>
        <v>14310168</v>
      </c>
    </row>
    <row r="3" spans="1:5" x14ac:dyDescent="0.2">
      <c r="A3" s="522" t="s">
        <v>991</v>
      </c>
      <c r="B3" s="522" t="s">
        <v>990</v>
      </c>
      <c r="C3" s="522">
        <v>1000</v>
      </c>
      <c r="D3" s="522">
        <v>6100</v>
      </c>
      <c r="E3" s="523">
        <f>SUMIFS('Accounting data'!$G$2:$G$37002,'Accounting data'!$H$2:$H$37002,"9999*",'Accounting data'!$J$2:$J$37002,"1*",'Accounting data'!$K$2:$K$37002,"61*")</f>
        <v>0</v>
      </c>
    </row>
    <row r="4" spans="1:5" x14ac:dyDescent="0.2">
      <c r="A4" s="522" t="s">
        <v>990</v>
      </c>
      <c r="B4" s="522" t="s">
        <v>992</v>
      </c>
      <c r="C4" s="522">
        <v>1000</v>
      </c>
      <c r="D4" s="522">
        <v>6100</v>
      </c>
      <c r="E4" s="523">
        <f>SUMIFS('Accounting data'!$G$2:$G$37002,'Accounting data'!$I$2:$I$37002,"7*",'Accounting data'!$J$2:$J$37002,"1*",'Accounting data'!$K$2:$K$37002,"61*")+SUMIFS('Accounting data'!$G$2:$G$37002,'Accounting data'!$I$2:$I$37002,"8*",'Accounting data'!$J$2:$J$37002,"1*",'Accounting data'!$K$2:$K$37002,"61*")+SUMIFS('Accounting data'!$G$2:$G$37002,'Accounting data'!$I$2:$I$37002,"9*",'Accounting data'!$J$2:$J$37002,"1*",'Accounting data'!$K$2:$K$37002,"61*")</f>
        <v>0</v>
      </c>
    </row>
    <row r="5" spans="1:5" x14ac:dyDescent="0.2">
      <c r="A5" s="524" t="s">
        <v>991</v>
      </c>
      <c r="B5" s="522" t="s">
        <v>992</v>
      </c>
      <c r="C5" s="522">
        <v>1000</v>
      </c>
      <c r="D5" s="522">
        <v>6100</v>
      </c>
      <c r="E5" s="523">
        <f>SUMIFS('Accounting data'!$G$2:$G$37002,'Accounting data'!$H$2:$H$37002,"9999*",'Accounting data'!$I$2:$I$37002,"7*",'Accounting data'!$J$2:$J$37002,"1*",'Accounting data'!$K$2:$K$37002,"61*")+SUMIFS('Accounting data'!$G$2:$G$37002,'Accounting data'!$H$2:$H$37002,"9999*",'Accounting data'!$I$2:$I$37002,"8*",'Accounting data'!$J$2:$J$37002,"1*",'Accounting data'!$K$2:$K$37002,"61*")+SUMIFS('Accounting data'!$G$2:$G$37002,'Accounting data'!$H$2:$H$37002,"9999*",'Accounting data'!$I$2:$I$37002,"9*",'Accounting data'!$J$2:$J$37002,"1*",'Accounting data'!$K$2:$K$37002,"61*")</f>
        <v>0</v>
      </c>
    </row>
    <row r="6" spans="1:5" x14ac:dyDescent="0.2">
      <c r="A6" s="522"/>
      <c r="B6" s="522"/>
      <c r="C6" s="522"/>
      <c r="D6" s="522"/>
      <c r="E6" s="523"/>
    </row>
    <row r="7" spans="1:5" x14ac:dyDescent="0.2">
      <c r="A7" s="522"/>
      <c r="B7" s="522"/>
      <c r="C7" s="522"/>
      <c r="D7" s="522"/>
      <c r="E7" s="523"/>
    </row>
    <row r="8" spans="1:5" ht="15" x14ac:dyDescent="0.25">
      <c r="A8" s="525" t="s">
        <v>993</v>
      </c>
      <c r="B8" s="525"/>
      <c r="C8" s="525"/>
      <c r="D8" s="525"/>
      <c r="E8" s="526">
        <f>(E2-E3-E4)+(E5+E6+E7)</f>
        <v>14310168</v>
      </c>
    </row>
    <row r="9" spans="1:5" x14ac:dyDescent="0.2">
      <c r="A9" s="522" t="s">
        <v>990</v>
      </c>
      <c r="B9" s="522" t="s">
        <v>990</v>
      </c>
      <c r="C9" s="522">
        <v>2100</v>
      </c>
      <c r="D9" s="522">
        <v>6100</v>
      </c>
      <c r="E9" s="523">
        <f>SUMIFS('Accounting data'!$G$2:$G$37002,'Accounting data'!$J$2:$J$37002,"21*",'Accounting data'!$K$2:$K$37002,"61*")</f>
        <v>1641008</v>
      </c>
    </row>
    <row r="10" spans="1:5" x14ac:dyDescent="0.2">
      <c r="A10" s="522" t="s">
        <v>991</v>
      </c>
      <c r="B10" s="522" t="s">
        <v>990</v>
      </c>
      <c r="C10" s="522">
        <v>2100</v>
      </c>
      <c r="D10" s="522">
        <v>6100</v>
      </c>
      <c r="E10" s="523">
        <f>SUMIFS('Accounting data'!$G$2:$G$37002,'Accounting data'!$H$2:$H$37002,"9999*",'Accounting data'!$J$2:$J$37002,"21*",'Accounting data'!$K$2:$K$37002,"61*")</f>
        <v>0</v>
      </c>
    </row>
    <row r="11" spans="1:5" x14ac:dyDescent="0.2">
      <c r="A11" s="522" t="s">
        <v>990</v>
      </c>
      <c r="B11" s="522" t="s">
        <v>992</v>
      </c>
      <c r="C11" s="522">
        <v>2100</v>
      </c>
      <c r="D11" s="522">
        <v>6100</v>
      </c>
      <c r="E11" s="523">
        <f>SUMIFS('Accounting data'!$G$2:$G$37002,'Accounting data'!$I$2:$I$37002,"7*",'Accounting data'!$J$2:$J$37002,"21*",'Accounting data'!$K$2:$K$37002,"61*")+SUMIFS('Accounting data'!$G$2:$G$37002,'Accounting data'!$I$2:$I$37002,"8*",'Accounting data'!$J$2:$J$37002,"21*",'Accounting data'!$K$2:$K$37002,"61*")+SUMIFS('Accounting data'!$G$2:$G$37002,'Accounting data'!$I$2:$I$37002,"9*",'Accounting data'!$J$2:$J$37002,"21*",'Accounting data'!$K$2:$K$37002,"61*")</f>
        <v>0</v>
      </c>
    </row>
    <row r="12" spans="1:5" x14ac:dyDescent="0.2">
      <c r="A12" s="524" t="s">
        <v>991</v>
      </c>
      <c r="B12" s="522" t="s">
        <v>992</v>
      </c>
      <c r="C12" s="522">
        <v>2100</v>
      </c>
      <c r="D12" s="522">
        <v>6100</v>
      </c>
      <c r="E12" s="523">
        <f>SUMIFS('Accounting data'!$G$2:$G$37002,'Accounting data'!$H$2:$H$37002,"9999*",'Accounting data'!$I$2:$I$37002,"7*",'Accounting data'!$J$2:$J$37002,"21*",'Accounting data'!$K$2:$K$37002,"61*")+SUMIFS('Accounting data'!$G$2:$G$37002,'Accounting data'!$H$2:$H$37002,"9999*",'Accounting data'!$I$2:$I$37002,"8*",'Accounting data'!$J$2:$J$37002,"21*",'Accounting data'!$K$2:$K$37002,"61*")+SUMIFS('Accounting data'!$G$2:$G$37002,'Accounting data'!$H$2:$H$37002,"9999*",'Accounting data'!$I$2:$I$37002,"9*",'Accounting data'!$J$2:$J$37002,"21*",'Accounting data'!$K$2:$K$37002,"61*")</f>
        <v>0</v>
      </c>
    </row>
    <row r="13" spans="1:5" x14ac:dyDescent="0.2">
      <c r="A13" s="522"/>
      <c r="B13" s="522"/>
      <c r="C13" s="522"/>
      <c r="D13" s="522"/>
      <c r="E13" s="523"/>
    </row>
    <row r="14" spans="1:5" x14ac:dyDescent="0.2">
      <c r="A14" s="522"/>
      <c r="B14" s="522"/>
      <c r="C14" s="522"/>
      <c r="D14" s="522"/>
      <c r="E14" s="523"/>
    </row>
    <row r="15" spans="1:5" ht="15" x14ac:dyDescent="0.25">
      <c r="A15" s="525" t="s">
        <v>994</v>
      </c>
      <c r="B15" s="525"/>
      <c r="C15" s="525"/>
      <c r="D15" s="525"/>
      <c r="E15" s="526">
        <f>(E9-E10-E11)+(E12+E13+E14)</f>
        <v>1641008</v>
      </c>
    </row>
    <row r="16" spans="1:5" x14ac:dyDescent="0.2">
      <c r="A16" s="522" t="s">
        <v>990</v>
      </c>
      <c r="B16" s="522" t="s">
        <v>990</v>
      </c>
      <c r="C16" s="522">
        <v>2200</v>
      </c>
      <c r="D16" s="522">
        <v>6100</v>
      </c>
      <c r="E16" s="523">
        <f>SUMIFS('Accounting data'!$G$2:$G$37002,'Accounting data'!$J$2:$J$37002,"22*",'Accounting data'!$K$2:$K$37002,"61*")</f>
        <v>602496</v>
      </c>
    </row>
    <row r="17" spans="1:5" x14ac:dyDescent="0.2">
      <c r="A17" s="522" t="s">
        <v>991</v>
      </c>
      <c r="B17" s="522" t="s">
        <v>990</v>
      </c>
      <c r="C17" s="522">
        <v>2200</v>
      </c>
      <c r="D17" s="522">
        <v>6100</v>
      </c>
      <c r="E17" s="523">
        <f>SUMIFS('Accounting data'!$G$2:$G$37002,'Accounting data'!$H$2:$H$37002,"9999*",'Accounting data'!$J$2:$J$37002,"22*",'Accounting data'!$K$2:$K$37002,"61*")</f>
        <v>0</v>
      </c>
    </row>
    <row r="18" spans="1:5" x14ac:dyDescent="0.2">
      <c r="A18" s="522" t="s">
        <v>990</v>
      </c>
      <c r="B18" s="522" t="s">
        <v>992</v>
      </c>
      <c r="C18" s="522">
        <v>2200</v>
      </c>
      <c r="D18" s="522">
        <v>6100</v>
      </c>
      <c r="E18" s="523">
        <f>SUMIFS('Accounting data'!$G$2:$G$37002,'Accounting data'!$I$2:$I$37002,"7*",'Accounting data'!$J$2:$J$37002,"22*",'Accounting data'!$K$2:$K$37002,"61*")+SUMIFS('Accounting data'!$G$2:$G$37002,'Accounting data'!$I$2:$I$37002,"8*",'Accounting data'!$J$2:$J$37002,"22*",'Accounting data'!$K$2:$K$37002,"61*")+SUMIFS('Accounting data'!$G$2:$G$37002,'Accounting data'!$I$2:$I$37002,"9*",'Accounting data'!$J$2:$J$37002,"22*",'Accounting data'!$K$2:$K$37002,"61*")</f>
        <v>0</v>
      </c>
    </row>
    <row r="19" spans="1:5" x14ac:dyDescent="0.2">
      <c r="A19" s="524" t="s">
        <v>991</v>
      </c>
      <c r="B19" s="522" t="s">
        <v>992</v>
      </c>
      <c r="C19" s="522">
        <v>2200</v>
      </c>
      <c r="D19" s="522">
        <v>6100</v>
      </c>
      <c r="E19" s="523">
        <f>SUMIFS('Accounting data'!$G$2:$G$37002,'Accounting data'!$H$2:$H$37002,"9999*",'Accounting data'!$I$2:$I$37002,"7*",'Accounting data'!$J$2:$J$37002,"22*",'Accounting data'!$K$2:$K$37002,"61*")+SUMIFS('Accounting data'!$G$2:$G$37002,'Accounting data'!$H$2:$H$37002,"9999*",'Accounting data'!$I$2:$I$37002,"8*",'Accounting data'!$J$2:$J$37002,"22*",'Accounting data'!$K$2:$K$37002,"61*")+SUMIFS('Accounting data'!$G$2:$G$37002,'Accounting data'!$H$2:$H$37002,"9999*",'Accounting data'!$I$2:$I$37002,"9*",'Accounting data'!$J$2:$J$37002,"22*",'Accounting data'!$K$2:$K$37002,"61*")</f>
        <v>0</v>
      </c>
    </row>
    <row r="20" spans="1:5" x14ac:dyDescent="0.2">
      <c r="A20" s="522"/>
      <c r="B20" s="522"/>
      <c r="C20" s="522"/>
      <c r="D20" s="522"/>
      <c r="E20" s="523"/>
    </row>
    <row r="21" spans="1:5" x14ac:dyDescent="0.2">
      <c r="A21" s="522"/>
      <c r="B21" s="522"/>
      <c r="C21" s="522"/>
      <c r="D21" s="522"/>
      <c r="E21" s="523"/>
    </row>
    <row r="22" spans="1:5" ht="15" x14ac:dyDescent="0.25">
      <c r="A22" s="525" t="s">
        <v>995</v>
      </c>
      <c r="B22" s="525"/>
      <c r="C22" s="525"/>
      <c r="D22" s="525"/>
      <c r="E22" s="526">
        <f>(E16-E17-E18)+(E19+E20+E21)</f>
        <v>602496</v>
      </c>
    </row>
    <row r="23" spans="1:5" x14ac:dyDescent="0.2">
      <c r="A23" s="522" t="s">
        <v>990</v>
      </c>
      <c r="B23" s="522" t="s">
        <v>990</v>
      </c>
      <c r="C23" s="522">
        <v>2300</v>
      </c>
      <c r="D23" s="522">
        <v>6100</v>
      </c>
      <c r="E23" s="523">
        <f>SUMIFS('Accounting data'!$G$2:$G$37002,'Accounting data'!$J$2:$J$37002,"23*",'Accounting data'!$K$2:$K$37002,"61*")</f>
        <v>0</v>
      </c>
    </row>
    <row r="24" spans="1:5" x14ac:dyDescent="0.2">
      <c r="A24" s="522" t="s">
        <v>991</v>
      </c>
      <c r="B24" s="522" t="s">
        <v>990</v>
      </c>
      <c r="C24" s="522">
        <v>2300</v>
      </c>
      <c r="D24" s="522">
        <v>6100</v>
      </c>
      <c r="E24" s="523">
        <f>SUMIFS('Accounting data'!$G$2:$G$37002,'Accounting data'!$H$2:$H$37002,"9999*",'Accounting data'!$J$2:$J$37002,"23*",'Accounting data'!$K$2:$K$37002,"61*")</f>
        <v>0</v>
      </c>
    </row>
    <row r="25" spans="1:5" x14ac:dyDescent="0.2">
      <c r="A25" s="522" t="s">
        <v>990</v>
      </c>
      <c r="B25" s="522" t="s">
        <v>992</v>
      </c>
      <c r="C25" s="522">
        <v>2300</v>
      </c>
      <c r="D25" s="522">
        <v>6100</v>
      </c>
      <c r="E25" s="523">
        <f>SUMIFS('Accounting data'!$G$2:$G$37002,'Accounting data'!$I$2:$I$37002,"7*",'Accounting data'!$J$2:$J$37002,"23*",'Accounting data'!$K$2:$K$37002,"61*")+SUMIFS('Accounting data'!$G$2:$G$37002,'Accounting data'!$I$2:$I$37002,"8*",'Accounting data'!$J$2:$J$37002,"23*",'Accounting data'!$K$2:$K$37002,"61*")+SUMIFS('Accounting data'!$G$2:$G$37002,'Accounting data'!$I$2:$I$37002,"9*",'Accounting data'!$J$2:$J$37002,"23*",'Accounting data'!$K$2:$K$37002,"61*")</f>
        <v>0</v>
      </c>
    </row>
    <row r="26" spans="1:5" x14ac:dyDescent="0.2">
      <c r="A26" s="524" t="s">
        <v>991</v>
      </c>
      <c r="B26" s="522" t="s">
        <v>992</v>
      </c>
      <c r="C26" s="522">
        <v>2300</v>
      </c>
      <c r="D26" s="522">
        <v>6100</v>
      </c>
      <c r="E26" s="523">
        <f>SUMIFS('Accounting data'!$G$2:$G$37002,'Accounting data'!$H$2:$H$37002,"9999*",'Accounting data'!$I$2:$I$37002,"7*",'Accounting data'!$J$2:$J$37002,"23*",'Accounting data'!$K$2:$K$37002,"61*")+SUMIFS('Accounting data'!$G$2:$G$37002,'Accounting data'!$H$2:$H$37002,"9999*",'Accounting data'!$I$2:$I$37002,"8*",'Accounting data'!$J$2:$J$37002,"23*",'Accounting data'!$K$2:$K$37002,"61*")+SUMIFS('Accounting data'!$G$2:$G$37002,'Accounting data'!$H$2:$H$37002,"9999*",'Accounting data'!$I$2:$I$37002,"9*",'Accounting data'!$J$2:$J$37002,"23*",'Accounting data'!$K$2:$K$37002,"61*")</f>
        <v>0</v>
      </c>
    </row>
    <row r="27" spans="1:5" x14ac:dyDescent="0.2">
      <c r="A27" s="522"/>
      <c r="B27" s="522"/>
      <c r="C27" s="522"/>
      <c r="D27" s="522"/>
      <c r="E27" s="523"/>
    </row>
    <row r="28" spans="1:5" x14ac:dyDescent="0.2">
      <c r="A28" s="522"/>
      <c r="B28" s="522"/>
      <c r="C28" s="522"/>
      <c r="D28" s="522"/>
      <c r="E28" s="523"/>
    </row>
    <row r="29" spans="1:5" x14ac:dyDescent="0.2">
      <c r="A29" s="525" t="s">
        <v>996</v>
      </c>
      <c r="B29" s="525"/>
      <c r="C29" s="525"/>
      <c r="D29" s="525"/>
      <c r="E29" s="527">
        <f>(E23-E24-E25)+(E26+E27+E28)</f>
        <v>0</v>
      </c>
    </row>
    <row r="30" spans="1:5" x14ac:dyDescent="0.2">
      <c r="A30" s="522" t="s">
        <v>990</v>
      </c>
      <c r="B30" s="522" t="s">
        <v>990</v>
      </c>
      <c r="C30" s="522">
        <v>2400</v>
      </c>
      <c r="D30" s="522">
        <v>6100</v>
      </c>
      <c r="E30" s="523">
        <f>SUMIFS('Accounting data'!$G$2:$G$37002,'Accounting data'!$J$2:$J$37002,"24*",'Accounting data'!$K$2:$K$37002,"61*")</f>
        <v>989780</v>
      </c>
    </row>
    <row r="31" spans="1:5" x14ac:dyDescent="0.2">
      <c r="A31" s="522" t="s">
        <v>991</v>
      </c>
      <c r="B31" s="522" t="s">
        <v>990</v>
      </c>
      <c r="C31" s="522">
        <v>2400</v>
      </c>
      <c r="D31" s="522">
        <v>6100</v>
      </c>
      <c r="E31" s="523">
        <f>SUMIFS('Accounting data'!$G$2:$G$37002,'Accounting data'!$H$2:$H$37002,"9999*",'Accounting data'!$J$2:$J$37002,"24*",'Accounting data'!$K$2:$K$37002,"61*")</f>
        <v>0</v>
      </c>
    </row>
    <row r="32" spans="1:5" x14ac:dyDescent="0.2">
      <c r="A32" s="522" t="s">
        <v>990</v>
      </c>
      <c r="B32" s="522" t="s">
        <v>992</v>
      </c>
      <c r="C32" s="522">
        <v>2400</v>
      </c>
      <c r="D32" s="522">
        <v>6100</v>
      </c>
      <c r="E32" s="523">
        <f>SUMIFS('Accounting data'!$G$2:$G$37002,'Accounting data'!$I$2:$I$37002,"7*",'Accounting data'!$J$2:$J$37002,"24*",'Accounting data'!$K$2:$K$37002,"61*")+SUMIFS('Accounting data'!$G$2:$G$37002,'Accounting data'!$I$2:$I$37002,"8*",'Accounting data'!$J$2:$J$37002,"24*",'Accounting data'!$K$2:$K$37002,"61*")+SUMIFS('Accounting data'!$G$2:$G$37002,'Accounting data'!$I$2:$I$37002,"9*",'Accounting data'!$J$2:$J$37002,"24*",'Accounting data'!$K$2:$K$37002,"61*")</f>
        <v>0</v>
      </c>
    </row>
    <row r="33" spans="1:5" x14ac:dyDescent="0.2">
      <c r="A33" s="524" t="s">
        <v>991</v>
      </c>
      <c r="B33" s="522" t="s">
        <v>992</v>
      </c>
      <c r="C33" s="522">
        <v>2400</v>
      </c>
      <c r="D33" s="522">
        <v>6100</v>
      </c>
      <c r="E33" s="523">
        <f>SUMIFS('Accounting data'!$G$2:$G$37002,'Accounting data'!$H$2:$H$37002,"9999*",'Accounting data'!$I$2:$I$37002,"7*",'Accounting data'!$J$2:$J$37002,"24*",'Accounting data'!$K$2:$K$37002,"61*")+SUMIFS('Accounting data'!$G$2:$G$37002,'Accounting data'!$H$2:$H$37002,"9999*",'Accounting data'!$I$2:$I$37002,"8*",'Accounting data'!$J$2:$J$37002,"24*",'Accounting data'!$K$2:$K$37002,"61*")+SUMIFS('Accounting data'!$G$2:$G$37002,'Accounting data'!$H$2:$H$37002,"9999*",'Accounting data'!$I$2:$I$37002,"9*",'Accounting data'!$J$2:$J$37002,"24*",'Accounting data'!$K$2:$K$37002,"61*")</f>
        <v>0</v>
      </c>
    </row>
    <row r="34" spans="1:5" x14ac:dyDescent="0.2">
      <c r="A34" s="522"/>
      <c r="B34" s="522"/>
      <c r="C34" s="522"/>
      <c r="D34" s="522"/>
      <c r="E34" s="523"/>
    </row>
    <row r="35" spans="1:5" x14ac:dyDescent="0.2">
      <c r="A35" s="522"/>
      <c r="B35" s="522"/>
      <c r="C35" s="522"/>
      <c r="D35" s="522"/>
      <c r="E35" s="523"/>
    </row>
    <row r="36" spans="1:5" ht="15" x14ac:dyDescent="0.25">
      <c r="A36" s="525" t="s">
        <v>997</v>
      </c>
      <c r="B36" s="525"/>
      <c r="C36" s="525"/>
      <c r="D36" s="525"/>
      <c r="E36" s="526">
        <f>(E30-E31-E32)+(E33+E34+E35)</f>
        <v>989780</v>
      </c>
    </row>
    <row r="37" spans="1:5" x14ac:dyDescent="0.2">
      <c r="A37" s="522" t="s">
        <v>990</v>
      </c>
      <c r="B37" s="522" t="s">
        <v>990</v>
      </c>
      <c r="C37" s="522">
        <v>2500</v>
      </c>
      <c r="D37" s="522">
        <v>6100</v>
      </c>
      <c r="E37" s="523">
        <f>SUMIFS('Accounting data'!$G$2:$G$37002,'Accounting data'!$J$2:$J$37002,"25*",'Accounting data'!$K$2:$K$37002,"61*")</f>
        <v>175534</v>
      </c>
    </row>
    <row r="38" spans="1:5" x14ac:dyDescent="0.2">
      <c r="A38" s="522" t="s">
        <v>991</v>
      </c>
      <c r="B38" s="522" t="s">
        <v>990</v>
      </c>
      <c r="C38" s="522">
        <v>2500</v>
      </c>
      <c r="D38" s="522">
        <v>6100</v>
      </c>
      <c r="E38" s="523">
        <f>SUMIFS('Accounting data'!$G$2:$G$37002,'Accounting data'!$H$2:$H$37002,"9999*",'Accounting data'!$J$2:$J$37002,"25*",'Accounting data'!$K$2:$K$37002,"61*")</f>
        <v>0</v>
      </c>
    </row>
    <row r="39" spans="1:5" x14ac:dyDescent="0.2">
      <c r="A39" s="522" t="s">
        <v>990</v>
      </c>
      <c r="B39" s="522" t="s">
        <v>992</v>
      </c>
      <c r="C39" s="522">
        <v>2500</v>
      </c>
      <c r="D39" s="522">
        <v>6100</v>
      </c>
      <c r="E39" s="523">
        <f>SUMIFS('Accounting data'!$G$2:$G$37002,'Accounting data'!$I$2:$I$37002,"7*",'Accounting data'!$J$2:$J$37002,"25*",'Accounting data'!$K$2:$K$37002,"61*")+SUMIFS('Accounting data'!$G$2:$G$37002,'Accounting data'!$I$2:$I$37002,"8*",'Accounting data'!$J$2:$J$37002,"25*",'Accounting data'!$K$2:$K$37002,"61*")+SUMIFS('Accounting data'!$G$2:$G$37002,'Accounting data'!$I$2:$I$37002,"9*",'Accounting data'!$J$2:$J$37002,"25*",'Accounting data'!$K$2:$K$37002,"61*")</f>
        <v>0</v>
      </c>
    </row>
    <row r="40" spans="1:5" x14ac:dyDescent="0.2">
      <c r="A40" s="524" t="s">
        <v>991</v>
      </c>
      <c r="B40" s="522" t="s">
        <v>992</v>
      </c>
      <c r="C40" s="522">
        <v>2500</v>
      </c>
      <c r="D40" s="522">
        <v>6100</v>
      </c>
      <c r="E40" s="523">
        <f>SUMIFS('Accounting data'!$G$2:$G$37002,'Accounting data'!$H$2:$H$37002,"9999*",'Accounting data'!$I$2:$I$37002,"7*",'Accounting data'!$J$2:$J$37002,"25*",'Accounting data'!$K$2:$K$37002,"61*")+SUMIFS('Accounting data'!$G$2:$G$37002,'Accounting data'!$H$2:$H$37002,"9999*",'Accounting data'!$I$2:$I$37002,"8*",'Accounting data'!$J$2:$J$37002,"25*",'Accounting data'!$K$2:$K$37002,"61*")+SUMIFS('Accounting data'!$G$2:$G$37002,'Accounting data'!$H$2:$H$37002,"9999*",'Accounting data'!$I$2:$I$37002,"9*",'Accounting data'!$J$2:$J$37002,"25*",'Accounting data'!$K$2:$K$37002,"61*")</f>
        <v>0</v>
      </c>
    </row>
    <row r="41" spans="1:5" x14ac:dyDescent="0.2">
      <c r="A41" s="522"/>
      <c r="B41" s="522"/>
      <c r="C41" s="522"/>
      <c r="D41" s="522"/>
      <c r="E41" s="523"/>
    </row>
    <row r="42" spans="1:5" x14ac:dyDescent="0.2">
      <c r="A42" s="522"/>
      <c r="B42" s="522"/>
      <c r="C42" s="522"/>
      <c r="D42" s="522"/>
      <c r="E42" s="523"/>
    </row>
    <row r="43" spans="1:5" ht="15" x14ac:dyDescent="0.25">
      <c r="A43" s="525" t="s">
        <v>998</v>
      </c>
      <c r="B43" s="525"/>
      <c r="C43" s="525"/>
      <c r="D43" s="525"/>
      <c r="E43" s="526">
        <f>(E37-E38-E39)+(E40+E41+E42)</f>
        <v>175534</v>
      </c>
    </row>
    <row r="44" spans="1:5" x14ac:dyDescent="0.2">
      <c r="A44" s="522" t="s">
        <v>990</v>
      </c>
      <c r="B44" s="522" t="s">
        <v>990</v>
      </c>
      <c r="C44" s="522">
        <v>2900</v>
      </c>
      <c r="D44" s="522">
        <v>6100</v>
      </c>
      <c r="E44" s="523">
        <f>SUMIFS('Accounting data'!$G$2:$G$37002,'Accounting data'!$J$2:$J$37002,"29*",'Accounting data'!$K$2:$K$37002,"61*")</f>
        <v>0</v>
      </c>
    </row>
    <row r="45" spans="1:5" x14ac:dyDescent="0.2">
      <c r="A45" s="522" t="s">
        <v>991</v>
      </c>
      <c r="B45" s="522" t="s">
        <v>990</v>
      </c>
      <c r="C45" s="522">
        <v>2900</v>
      </c>
      <c r="D45" s="522">
        <v>6100</v>
      </c>
      <c r="E45" s="523">
        <f>SUMIFS('Accounting data'!$G$2:$G$37002,'Accounting data'!$H$2:$H$37002,"9999*",'Accounting data'!$J$2:$J$37002,"29*",'Accounting data'!$K$2:$K$37002,"61*")</f>
        <v>0</v>
      </c>
    </row>
    <row r="46" spans="1:5" x14ac:dyDescent="0.2">
      <c r="A46" s="522" t="s">
        <v>990</v>
      </c>
      <c r="B46" s="522" t="s">
        <v>992</v>
      </c>
      <c r="C46" s="522">
        <v>2900</v>
      </c>
      <c r="D46" s="522">
        <v>6100</v>
      </c>
      <c r="E46" s="523">
        <f>SUMIFS('Accounting data'!$G$2:$G$37002,'Accounting data'!$I$2:$I$37002,"7*",'Accounting data'!$J$2:$J$37002,"29*",'Accounting data'!$K$2:$K$37002,"61*")+SUMIFS('Accounting data'!$G$2:$G$37002,'Accounting data'!$I$2:$I$37002,"8*",'Accounting data'!$J$2:$J$37002,"29*",'Accounting data'!$K$2:$K$37002,"61*")+SUMIFS('Accounting data'!$G$2:$G$37002,'Accounting data'!$I$2:$I$37002,"9*",'Accounting data'!$J$2:$J$37002,"29*",'Accounting data'!$K$2:$K$37002,"61*")</f>
        <v>0</v>
      </c>
    </row>
    <row r="47" spans="1:5" x14ac:dyDescent="0.2">
      <c r="A47" s="524" t="s">
        <v>991</v>
      </c>
      <c r="B47" s="522" t="s">
        <v>992</v>
      </c>
      <c r="C47" s="522">
        <v>2900</v>
      </c>
      <c r="D47" s="522">
        <v>6100</v>
      </c>
      <c r="E47" s="523">
        <f>SUMIFS('Accounting data'!$G$2:$G$37002,'Accounting data'!$H$2:$H$37002,"9999*",'Accounting data'!$I$2:$I$37002,"7*",'Accounting data'!$J$2:$J$37002,"29*",'Accounting data'!$K$2:$K$37002,"61*")+SUMIFS('Accounting data'!$G$2:$G$37002,'Accounting data'!$H$2:$H$37002,"9999*",'Accounting data'!$I$2:$I$37002,"8*",'Accounting data'!$J$2:$J$37002,"29*",'Accounting data'!$K$2:$K$37002,"61*")+SUMIFS('Accounting data'!$G$2:$G$37002,'Accounting data'!$H$2:$H$37002,"9999*",'Accounting data'!$I$2:$I$37002,"9*",'Accounting data'!$J$2:$J$37002,"29*",'Accounting data'!$K$2:$K$37002,"61*")</f>
        <v>0</v>
      </c>
    </row>
    <row r="50" spans="1:5" ht="15" x14ac:dyDescent="0.25">
      <c r="A50" s="525" t="s">
        <v>999</v>
      </c>
      <c r="B50" s="525"/>
      <c r="C50" s="525"/>
      <c r="D50" s="525"/>
      <c r="E50" s="526">
        <f>(E44-E45-E46)+(E47+E48+E49)</f>
        <v>0</v>
      </c>
    </row>
    <row r="51" spans="1:5" x14ac:dyDescent="0.2">
      <c r="A51" s="522" t="s">
        <v>990</v>
      </c>
      <c r="B51" s="522" t="s">
        <v>990</v>
      </c>
      <c r="C51" s="522">
        <v>2600</v>
      </c>
      <c r="D51" s="522">
        <v>6100</v>
      </c>
      <c r="E51" s="523">
        <f>SUMIFS('Accounting data'!$G$2:$G$37002,'Accounting data'!$J$2:$J$37002,"26*",'Accounting data'!$K$2:$K$37002,"61*")</f>
        <v>263473</v>
      </c>
    </row>
    <row r="52" spans="1:5" x14ac:dyDescent="0.2">
      <c r="A52" s="522" t="s">
        <v>991</v>
      </c>
      <c r="B52" s="522" t="s">
        <v>990</v>
      </c>
      <c r="C52" s="522">
        <v>2600</v>
      </c>
      <c r="D52" s="522">
        <v>6100</v>
      </c>
      <c r="E52" s="523">
        <f>SUMIFS('Accounting data'!$G$2:$G$37002,'Accounting data'!$H$2:$H$37002,"9999*",'Accounting data'!$J$2:$J$37002,"26*",'Accounting data'!$K$2:$K$37002,"61*")</f>
        <v>0</v>
      </c>
    </row>
    <row r="53" spans="1:5" x14ac:dyDescent="0.2">
      <c r="A53" s="522" t="s">
        <v>990</v>
      </c>
      <c r="B53" s="522" t="s">
        <v>992</v>
      </c>
      <c r="C53" s="522">
        <v>2600</v>
      </c>
      <c r="D53" s="522">
        <v>6100</v>
      </c>
      <c r="E53" s="523">
        <f>SUMIFS('Accounting data'!$G$2:$G$37002,'Accounting data'!$I$2:$I$37002,"7*",'Accounting data'!$J$2:$J$37002,"26*",'Accounting data'!$K$2:$K$37002,"61*")+SUMIFS('Accounting data'!$G$2:$G$37002,'Accounting data'!$I$2:$I$37002,"8*",'Accounting data'!$J$2:$J$37002,"26*",'Accounting data'!$K$2:$K$37002,"61*")+SUMIFS('Accounting data'!$G$2:$G$37002,'Accounting data'!$I$2:$I$37002,"9*",'Accounting data'!$J$2:$J$37002,"26*",'Accounting data'!$K$2:$K$37002,"61*")</f>
        <v>0</v>
      </c>
    </row>
    <row r="54" spans="1:5" x14ac:dyDescent="0.2">
      <c r="A54" s="524" t="s">
        <v>991</v>
      </c>
      <c r="B54" s="522" t="s">
        <v>992</v>
      </c>
      <c r="C54" s="522">
        <v>2600</v>
      </c>
      <c r="D54" s="522">
        <v>6100</v>
      </c>
      <c r="E54" s="523">
        <f>SUMIFS('Accounting data'!$G$2:$G$37002,'Accounting data'!$H$2:$H$37002,"9999*",'Accounting data'!$I$2:$I$37002,"7*",'Accounting data'!$J$2:$J$37002,"26*",'Accounting data'!$K$2:$K$37002,"61*")+SUMIFS('Accounting data'!$G$2:$G$37002,'Accounting data'!$H$2:$H$37002,"9999*",'Accounting data'!$I$2:$I$37002,"8*",'Accounting data'!$J$2:$J$37002,"26*",'Accounting data'!$K$2:$K$37002,"61*")+SUMIFS('Accounting data'!$G$2:$G$37002,'Accounting data'!$H$2:$H$37002,"9999*",'Accounting data'!$I$2:$I$37002,"9*",'Accounting data'!$J$2:$J$37002,"26*",'Accounting data'!$K$2:$K$37002,"61*")</f>
        <v>0</v>
      </c>
    </row>
    <row r="55" spans="1:5" x14ac:dyDescent="0.2">
      <c r="A55" s="522"/>
      <c r="B55" s="522"/>
      <c r="C55" s="522"/>
      <c r="D55" s="522"/>
      <c r="E55" s="523"/>
    </row>
    <row r="56" spans="1:5" x14ac:dyDescent="0.2">
      <c r="A56" s="522"/>
      <c r="B56" s="522"/>
      <c r="C56" s="522"/>
      <c r="D56" s="522"/>
      <c r="E56" s="523"/>
    </row>
    <row r="57" spans="1:5" ht="15" x14ac:dyDescent="0.25">
      <c r="A57" s="525" t="s">
        <v>1000</v>
      </c>
      <c r="B57" s="525"/>
      <c r="C57" s="525"/>
      <c r="D57" s="525"/>
      <c r="E57" s="526">
        <f>(E51-E52-E53)+(E54+E55+E56)</f>
        <v>263473</v>
      </c>
    </row>
    <row r="58" spans="1:5" x14ac:dyDescent="0.2">
      <c r="A58" s="522" t="s">
        <v>990</v>
      </c>
      <c r="B58" s="522" t="s">
        <v>990</v>
      </c>
      <c r="C58" s="522">
        <v>2700</v>
      </c>
      <c r="D58" s="522">
        <v>6100</v>
      </c>
      <c r="E58" s="523">
        <f>SUMIFS('Accounting data'!$G$2:$G$37002,'Accounting data'!$J$2:$J$37002,"27*",'Accounting data'!$K$2:$K$37002,"61*")</f>
        <v>0</v>
      </c>
    </row>
    <row r="59" spans="1:5" x14ac:dyDescent="0.2">
      <c r="A59" s="522" t="s">
        <v>991</v>
      </c>
      <c r="B59" s="522" t="s">
        <v>990</v>
      </c>
      <c r="C59" s="522">
        <v>2700</v>
      </c>
      <c r="D59" s="522">
        <v>6100</v>
      </c>
      <c r="E59" s="523">
        <f>SUMIFS('Accounting data'!$G$2:$G$37002,'Accounting data'!$H$2:$H$37002,"9999*",'Accounting data'!$J$2:$J$37002,"27*",'Accounting data'!$K$2:$K$37002,"61*")</f>
        <v>0</v>
      </c>
    </row>
    <row r="60" spans="1:5" x14ac:dyDescent="0.2">
      <c r="A60" s="522" t="s">
        <v>990</v>
      </c>
      <c r="B60" s="522" t="s">
        <v>992</v>
      </c>
      <c r="C60" s="522">
        <v>2700</v>
      </c>
      <c r="D60" s="522">
        <v>6100</v>
      </c>
      <c r="E60" s="523">
        <f>SUMIFS('Accounting data'!$G$2:$G$37002,'Accounting data'!$I$2:$I$37002,"7*",'Accounting data'!$J$2:$J$37002,"27*",'Accounting data'!$K$2:$K$37002,"61*")+SUMIFS('Accounting data'!$G$2:$G$37002,'Accounting data'!$I$2:$I$37002,"8*",'Accounting data'!$J$2:$J$37002,"27*",'Accounting data'!$K$2:$K$37002,"61*")+SUMIFS('Accounting data'!$G$2:$G$37002,'Accounting data'!$I$2:$I$37002,"9*",'Accounting data'!$J$2:$J$37002,"27*",'Accounting data'!$K$2:$K$37002,"61*")</f>
        <v>0</v>
      </c>
    </row>
    <row r="61" spans="1:5" x14ac:dyDescent="0.2">
      <c r="A61" s="524" t="s">
        <v>991</v>
      </c>
      <c r="B61" s="522" t="s">
        <v>992</v>
      </c>
      <c r="C61" s="522">
        <v>2700</v>
      </c>
      <c r="D61" s="522">
        <v>6100</v>
      </c>
      <c r="E61" s="523">
        <f>SUMIFS('Accounting data'!$G$2:$G$37002,'Accounting data'!$H$2:$H$37002,"9999*",'Accounting data'!$I$2:$I$37002,"7*",'Accounting data'!$J$2:$J$37002,"27*",'Accounting data'!$K$2:$K$37002,"61*")+SUMIFS('Accounting data'!$G$2:$G$37002,'Accounting data'!$H$2:$H$37002,"9999*",'Accounting data'!$I$2:$I$37002,"8*",'Accounting data'!$J$2:$J$37002,"27*",'Accounting data'!$K$2:$K$37002,"61*")+SUMIFS('Accounting data'!$G$2:$G$37002,'Accounting data'!$H$2:$H$37002,"9999*",'Accounting data'!$I$2:$I$37002,"9*",'Accounting data'!$J$2:$J$37002,"27*",'Accounting data'!$K$2:$K$37002,"61*")</f>
        <v>0</v>
      </c>
    </row>
    <row r="62" spans="1:5" x14ac:dyDescent="0.2">
      <c r="A62" s="522"/>
      <c r="B62" s="522"/>
      <c r="C62" s="522"/>
      <c r="D62" s="522"/>
      <c r="E62" s="523"/>
    </row>
    <row r="63" spans="1:5" x14ac:dyDescent="0.2">
      <c r="A63" s="522"/>
      <c r="B63" s="522"/>
      <c r="C63" s="522"/>
      <c r="D63" s="522"/>
      <c r="E63" s="523"/>
    </row>
    <row r="64" spans="1:5" ht="15" x14ac:dyDescent="0.25">
      <c r="A64" s="525" t="s">
        <v>1001</v>
      </c>
      <c r="B64" s="525"/>
      <c r="C64" s="525"/>
      <c r="D64" s="525"/>
      <c r="E64" s="526">
        <f>(E58-E59-E60)+(E61+E62+E63)</f>
        <v>0</v>
      </c>
    </row>
    <row r="65" spans="1:5" x14ac:dyDescent="0.2">
      <c r="A65" s="522" t="s">
        <v>990</v>
      </c>
      <c r="B65" s="522" t="s">
        <v>990</v>
      </c>
      <c r="C65" s="522">
        <v>3100</v>
      </c>
      <c r="D65" s="522">
        <v>6100</v>
      </c>
      <c r="E65" s="523">
        <f>SUMIFS('Accounting data'!$G$2:$G$37002,'Accounting data'!$J$2:$J$37002,"31*",'Accounting data'!$K$2:$K$37002,"61*")</f>
        <v>0</v>
      </c>
    </row>
    <row r="66" spans="1:5" x14ac:dyDescent="0.2">
      <c r="A66" s="522" t="s">
        <v>991</v>
      </c>
      <c r="B66" s="522" t="s">
        <v>990</v>
      </c>
      <c r="C66" s="522">
        <v>3100</v>
      </c>
      <c r="D66" s="522">
        <v>6100</v>
      </c>
      <c r="E66" s="523">
        <f>SUMIFS('Accounting data'!$G$2:$G$37002,'Accounting data'!$H$2:$H$37002,"9999*",'Accounting data'!$J$2:$J$37002,"31*",'Accounting data'!$K$2:$K$37002,"61*")</f>
        <v>0</v>
      </c>
    </row>
    <row r="67" spans="1:5" x14ac:dyDescent="0.2">
      <c r="A67" s="522" t="s">
        <v>990</v>
      </c>
      <c r="B67" s="522" t="s">
        <v>992</v>
      </c>
      <c r="C67" s="522">
        <v>3100</v>
      </c>
      <c r="D67" s="522">
        <v>6100</v>
      </c>
      <c r="E67" s="523">
        <f>SUMIFS('Accounting data'!$G$2:$G$37002,'Accounting data'!$I$2:$I$37002,"7*",'Accounting data'!$J$2:$J$37002,"31*",'Accounting data'!$K$2:$K$37002,"61*")+SUMIFS('Accounting data'!$G$2:$G$37002,'Accounting data'!$I$2:$I$37002,"8*",'Accounting data'!$J$2:$J$37002,"31*",'Accounting data'!$K$2:$K$37002,"61*")+SUMIFS('Accounting data'!$G$2:$G$37002,'Accounting data'!$I$2:$I$37002,"9*",'Accounting data'!$J$2:$J$37002,"31*",'Accounting data'!$K$2:$K$37002,"61*")</f>
        <v>0</v>
      </c>
    </row>
    <row r="68" spans="1:5" x14ac:dyDescent="0.2">
      <c r="A68" s="524" t="s">
        <v>991</v>
      </c>
      <c r="B68" s="522" t="s">
        <v>992</v>
      </c>
      <c r="C68" s="522">
        <v>3100</v>
      </c>
      <c r="D68" s="522">
        <v>6100</v>
      </c>
      <c r="E68" s="523">
        <f>SUMIFS('Accounting data'!$G$2:$G$37002,'Accounting data'!$H$2:$H$37002,"9999*",'Accounting data'!$I$2:$I$37002,"7*",'Accounting data'!$J$2:$J$37002,"31*",'Accounting data'!$K$2:$K$37002,"61*")+SUMIFS('Accounting data'!$G$2:$G$37002,'Accounting data'!$H$2:$H$37002,"9999*",'Accounting data'!$I$2:$I$37002,"8*",'Accounting data'!$J$2:$J$37002,"31*",'Accounting data'!$K$2:$K$37002,"61*")+SUMIFS('Accounting data'!$G$2:$G$37002,'Accounting data'!$H$2:$H$37002,"9999*",'Accounting data'!$I$2:$I$37002,"9*",'Accounting data'!$J$2:$J$37002,"31*",'Accounting data'!$K$2:$K$37002,"61*")</f>
        <v>0</v>
      </c>
    </row>
    <row r="69" spans="1:5" x14ac:dyDescent="0.2">
      <c r="A69" s="522"/>
      <c r="B69" s="522"/>
      <c r="C69" s="522"/>
      <c r="D69" s="522"/>
      <c r="E69" s="523"/>
    </row>
    <row r="70" spans="1:5" x14ac:dyDescent="0.2">
      <c r="A70" s="522"/>
      <c r="B70" s="522"/>
      <c r="C70" s="522"/>
      <c r="D70" s="522"/>
      <c r="E70" s="523"/>
    </row>
    <row r="71" spans="1:5" ht="15" x14ac:dyDescent="0.25">
      <c r="A71" s="525" t="s">
        <v>1002</v>
      </c>
      <c r="B71" s="525"/>
      <c r="C71" s="525"/>
      <c r="D71" s="525"/>
      <c r="E71" s="526">
        <f>(E65-E66-E67)+(E68+E69+E70)</f>
        <v>0</v>
      </c>
    </row>
    <row r="72" spans="1:5" x14ac:dyDescent="0.2">
      <c r="A72" s="522"/>
      <c r="B72" s="522"/>
      <c r="C72" s="522"/>
      <c r="D72" s="522"/>
      <c r="E72" s="523"/>
    </row>
    <row r="73" spans="1:5" x14ac:dyDescent="0.2">
      <c r="A73" s="522"/>
      <c r="B73" s="522"/>
      <c r="C73" s="522"/>
      <c r="D73" s="522"/>
      <c r="E73" s="523"/>
    </row>
    <row r="74" spans="1:5" x14ac:dyDescent="0.2">
      <c r="A74" s="522"/>
      <c r="B74" s="522"/>
      <c r="C74" s="522"/>
      <c r="D74" s="522"/>
      <c r="E74" s="523"/>
    </row>
    <row r="75" spans="1:5" x14ac:dyDescent="0.2">
      <c r="A75" s="524"/>
      <c r="B75" s="522"/>
      <c r="C75" s="522"/>
      <c r="D75" s="522"/>
      <c r="E75" s="523"/>
    </row>
    <row r="76" spans="1:5" x14ac:dyDescent="0.2">
      <c r="A76" s="522"/>
      <c r="B76" s="522"/>
      <c r="C76" s="522"/>
      <c r="D76" s="522"/>
      <c r="E76" s="523"/>
    </row>
    <row r="77" spans="1:5" x14ac:dyDescent="0.2">
      <c r="A77" s="522"/>
      <c r="B77" s="522"/>
      <c r="C77" s="522"/>
      <c r="D77" s="522"/>
      <c r="E77" s="523"/>
    </row>
    <row r="78" spans="1:5" ht="15" x14ac:dyDescent="0.25">
      <c r="A78" s="525"/>
      <c r="B78" s="525"/>
      <c r="C78" s="525"/>
      <c r="D78" s="525"/>
      <c r="E78" s="526"/>
    </row>
    <row r="79" spans="1:5" x14ac:dyDescent="0.2">
      <c r="A79" s="522" t="s">
        <v>990</v>
      </c>
      <c r="B79" s="522" t="s">
        <v>990</v>
      </c>
      <c r="C79" s="522">
        <v>3400</v>
      </c>
      <c r="D79" s="522">
        <v>6100</v>
      </c>
      <c r="E79" s="523">
        <f>SUMIFS('Accounting data'!$G$2:$G$37002,'Accounting data'!$J$2:$J$37002,"34*",'Accounting data'!$K$2:$K$37002,"61*")</f>
        <v>0</v>
      </c>
    </row>
    <row r="80" spans="1:5" x14ac:dyDescent="0.2">
      <c r="A80" s="522" t="s">
        <v>991</v>
      </c>
      <c r="B80" s="522" t="s">
        <v>990</v>
      </c>
      <c r="C80" s="522">
        <v>3400</v>
      </c>
      <c r="D80" s="522">
        <v>6100</v>
      </c>
      <c r="E80" s="523">
        <f>SUMIFS('Accounting data'!$G$2:$G$37002,'Accounting data'!$H$2:$H$37002,"9999*",'Accounting data'!$J$2:$J$37002,"34*",'Accounting data'!$K$2:$K$37002,"61*")</f>
        <v>0</v>
      </c>
    </row>
    <row r="81" spans="1:5" x14ac:dyDescent="0.2">
      <c r="A81" s="522" t="s">
        <v>990</v>
      </c>
      <c r="B81" s="522" t="s">
        <v>992</v>
      </c>
      <c r="C81" s="522">
        <v>3400</v>
      </c>
      <c r="D81" s="522">
        <v>6100</v>
      </c>
      <c r="E81" s="523">
        <f>SUMIFS('Accounting data'!$G$2:$G$37002,'Accounting data'!$I$2:$I$37002,"7*",'Accounting data'!$J$2:$J$37002,"34*",'Accounting data'!$K$2:$K$37002,"61*")+SUMIFS('Accounting data'!$G$2:$G$37002,'Accounting data'!$I$2:$I$37002,"8*",'Accounting data'!$J$2:$J$37002,"34*",'Accounting data'!$K$2:$K$37002,"61*")+SUMIFS('Accounting data'!$G$2:$G$37002,'Accounting data'!$I$2:$I$37002,"9*",'Accounting data'!$J$2:$J$37002,"34*",'Accounting data'!$K$2:$K$37002,"61*")</f>
        <v>0</v>
      </c>
    </row>
    <row r="82" spans="1:5" x14ac:dyDescent="0.2">
      <c r="A82" s="524" t="s">
        <v>991</v>
      </c>
      <c r="B82" s="522" t="s">
        <v>992</v>
      </c>
      <c r="C82" s="522">
        <v>3400</v>
      </c>
      <c r="D82" s="522">
        <v>6100</v>
      </c>
      <c r="E82" s="523">
        <f>SUMIFS('Accounting data'!$G$2:$G$37002,'Accounting data'!$H$2:$H$37002,"9999*",'Accounting data'!$I$2:$I$37002,"7*",'Accounting data'!$J$2:$J$37002,"34*",'Accounting data'!$K$2:$K$37002,"61*")+SUMIFS('Accounting data'!$G$2:$G$37002,'Accounting data'!$H$2:$H$37002,"9999*",'Accounting data'!$I$2:$I$37002,"8*",'Accounting data'!$J$2:$J$37002,"34*",'Accounting data'!$K$2:$K$37002,"61*")+SUMIFS('Accounting data'!$G$2:$G$37002,'Accounting data'!$H$2:$H$37002,"9999*",'Accounting data'!$I$2:$I$37002,"9*",'Accounting data'!$J$2:$J$37002,"34*",'Accounting data'!$K$2:$K$37002,"61*")</f>
        <v>0</v>
      </c>
    </row>
    <row r="83" spans="1:5" x14ac:dyDescent="0.2">
      <c r="A83" s="522"/>
      <c r="B83" s="522"/>
      <c r="C83" s="522"/>
      <c r="D83" s="522"/>
      <c r="E83" s="523"/>
    </row>
    <row r="84" spans="1:5" x14ac:dyDescent="0.2">
      <c r="A84" s="522"/>
      <c r="B84" s="522"/>
      <c r="C84" s="522"/>
      <c r="D84" s="522"/>
      <c r="E84" s="523"/>
    </row>
    <row r="85" spans="1:5" ht="15" x14ac:dyDescent="0.25">
      <c r="A85" s="525" t="s">
        <v>1003</v>
      </c>
      <c r="B85" s="525"/>
      <c r="C85" s="525"/>
      <c r="D85" s="525"/>
      <c r="E85" s="526">
        <f>(E79-E80-E81)+(E82+E83+E84)</f>
        <v>0</v>
      </c>
    </row>
    <row r="86" spans="1:5" x14ac:dyDescent="0.2">
      <c r="A86" s="522" t="s">
        <v>990</v>
      </c>
      <c r="B86" s="522" t="s">
        <v>990</v>
      </c>
      <c r="C86" s="522">
        <v>4000</v>
      </c>
      <c r="D86" s="522">
        <v>6100</v>
      </c>
      <c r="E86" s="523">
        <f>SUMIFS('Accounting data'!$G$2:$G$37002,'Accounting data'!$J$2:$J$37002,"4*",'Accounting data'!$K$2:$K$37002,"61*")</f>
        <v>0</v>
      </c>
    </row>
    <row r="87" spans="1:5" x14ac:dyDescent="0.2">
      <c r="A87" s="522" t="s">
        <v>991</v>
      </c>
      <c r="B87" s="522" t="s">
        <v>990</v>
      </c>
      <c r="C87" s="522">
        <v>4000</v>
      </c>
      <c r="D87" s="522">
        <v>6100</v>
      </c>
      <c r="E87" s="523">
        <f>SUMIFS('Accounting data'!$G$2:$G$37002,'Accounting data'!$H$2:$H$37002,"9999*",'Accounting data'!$J$2:$J$37002,"4*",'Accounting data'!$K$2:$K$37002,"61*")</f>
        <v>0</v>
      </c>
    </row>
    <row r="88" spans="1:5" x14ac:dyDescent="0.2">
      <c r="A88" s="522" t="s">
        <v>990</v>
      </c>
      <c r="B88" s="522" t="s">
        <v>992</v>
      </c>
      <c r="C88" s="522">
        <v>4000</v>
      </c>
      <c r="D88" s="522">
        <v>6100</v>
      </c>
      <c r="E88" s="523">
        <f>SUMIFS('Accounting data'!$G$2:$G$37002,'Accounting data'!$I$2:$I$37002,"7*",'Accounting data'!$J$2:$J$37002,"4*",'Accounting data'!$K$2:$K$37002,"61*")+SUMIFS('Accounting data'!$G$2:$G$37002,'Accounting data'!$I$2:$I$37002,"8*",'Accounting data'!$J$2:$J$37002,"4*",'Accounting data'!$K$2:$K$37002,"61*")+SUMIFS('Accounting data'!$G$2:$G$37002,'Accounting data'!$I$2:$I$37002,"9*",'Accounting data'!$J$2:$J$37002,"4*",'Accounting data'!$K$2:$K$37002,"61*")</f>
        <v>0</v>
      </c>
    </row>
    <row r="89" spans="1:5" x14ac:dyDescent="0.2">
      <c r="A89" s="524" t="s">
        <v>991</v>
      </c>
      <c r="B89" s="522" t="s">
        <v>992</v>
      </c>
      <c r="C89" s="522">
        <v>4000</v>
      </c>
      <c r="D89" s="522">
        <v>6100</v>
      </c>
      <c r="E89" s="523">
        <f>SUMIFS('Accounting data'!$G$2:$G$37002,'Accounting data'!$H$2:$H$37002,"9999*",'Accounting data'!$I$2:$I$37002,"7*",'Accounting data'!$J$2:$J$37002,"4*",'Accounting data'!$K$2:$K$37002,"61*")+SUMIFS('Accounting data'!$G$2:$G$37002,'Accounting data'!$H$2:$H$37002,"9999*",'Accounting data'!$I$2:$I$37002,"8*",'Accounting data'!$J$2:$J$37002,"4*",'Accounting data'!$K$2:$K$37002,"61*")+SUMIFS('Accounting data'!$G$2:$G$37002,'Accounting data'!$H$2:$H$37002,"9999*",'Accounting data'!$I$2:$I$37002,"9*",'Accounting data'!$J$2:$J$37002,"4*",'Accounting data'!$K$2:$K$37002,"61*")</f>
        <v>0</v>
      </c>
    </row>
    <row r="90" spans="1:5" x14ac:dyDescent="0.2">
      <c r="A90" s="522"/>
      <c r="B90" s="522"/>
      <c r="C90" s="522"/>
      <c r="D90" s="522"/>
      <c r="E90" s="523"/>
    </row>
    <row r="91" spans="1:5" x14ac:dyDescent="0.2">
      <c r="A91" s="522"/>
      <c r="B91" s="522"/>
      <c r="C91" s="522"/>
      <c r="D91" s="522"/>
      <c r="E91" s="523"/>
    </row>
    <row r="92" spans="1:5" ht="15" x14ac:dyDescent="0.25">
      <c r="A92" s="525" t="s">
        <v>1004</v>
      </c>
      <c r="B92" s="525"/>
      <c r="C92" s="525"/>
      <c r="D92" s="525"/>
      <c r="E92" s="526">
        <f>(E86-E87-E88)+(E89+E90+E91)</f>
        <v>0</v>
      </c>
    </row>
    <row r="93" spans="1:5" ht="15" x14ac:dyDescent="0.25">
      <c r="A93" s="528" t="s">
        <v>1005</v>
      </c>
      <c r="B93" s="528"/>
      <c r="C93" s="528"/>
      <c r="D93" s="528"/>
      <c r="E93" s="529">
        <f>E8+E15+E22+E29+E36+E43+E50+E57+E64+E71+E78+E85</f>
        <v>17982459</v>
      </c>
    </row>
    <row r="94" spans="1:5" x14ac:dyDescent="0.2">
      <c r="A94" s="522" t="s">
        <v>1006</v>
      </c>
      <c r="B94" s="522" t="s">
        <v>990</v>
      </c>
      <c r="C94" s="522">
        <v>1000</v>
      </c>
      <c r="D94" s="522">
        <v>6100</v>
      </c>
      <c r="E94" s="523">
        <f>SUMIFS('Accounting data'!$G$2:$G$37002,'Accounting data'!$H$2:$H$37002,"11*",'Accounting data'!$J$2:$J$37002,"1*",'Accounting data'!$K$2:$K$37002,"61*")+SUMIFS('Accounting data'!$G$2:$G$37002,'Accounting data'!$H$2:$H$37002,"12*",'Accounting data'!$J$2:$J$37002,"1*",'Accounting data'!$K$2:$K$37002,"61*")+SUMIFS('Accounting data'!$G$2:$G$37002,'Accounting data'!$H$2:$H$37002,"13*",'Accounting data'!$J$2:$J$37002,"1*",'Accounting data'!$K$2:$K$37002,"61*")</f>
        <v>0</v>
      </c>
    </row>
    <row r="95" spans="1:5" x14ac:dyDescent="0.2">
      <c r="A95" s="522" t="s">
        <v>1006</v>
      </c>
      <c r="B95" s="522" t="s">
        <v>990</v>
      </c>
      <c r="C95" s="522">
        <v>2000</v>
      </c>
      <c r="D95" s="522">
        <v>6100</v>
      </c>
      <c r="E95" s="523">
        <f>SUMIFS('Accounting data'!$G$2:$G$37002,'Accounting data'!$H$2:$H$37002,"11*",'Accounting data'!$J$2:$J$37002,"2*",'Accounting data'!$K$2:$K$37002,"61*")+SUMIFS('Accounting data'!$G$2:$G$37002,'Accounting data'!$H$2:$H$37002,"12*",'Accounting data'!$J$2:$J$37002,"2*",'Accounting data'!$K$2:$K$37002,"61*")+SUMIFS('Accounting data'!$G$2:$G$37002,'Accounting data'!$H$2:$H$37002,"13*",'Accounting data'!$J$2:$J$37002,"2*",'Accounting data'!$K$2:$K$37002,"61*")</f>
        <v>0</v>
      </c>
    </row>
    <row r="96" spans="1:5" x14ac:dyDescent="0.2">
      <c r="A96" s="522" t="s">
        <v>1006</v>
      </c>
      <c r="B96" s="522" t="s">
        <v>990</v>
      </c>
      <c r="C96" s="522">
        <v>3000</v>
      </c>
      <c r="D96" s="522">
        <v>6100</v>
      </c>
      <c r="E96" s="523">
        <f>SUMIFS('Accounting data'!$G$2:$G$37002,'Accounting data'!$H$2:$H$37002,"11*",'Accounting data'!$J$2:$J$37002,"3*",'Accounting data'!$K$2:$K$37002,"61*")+SUMIFS('Accounting data'!$G$2:$G$37002,'Accounting data'!$H$2:$H$37002,"12*",'Accounting data'!$J$2:$J$37002,"3*",'Accounting data'!$K$2:$K$37002,"61*")+SUMIFS('Accounting data'!$G$2:$G$37002,'Accounting data'!$H$2:$H$37002,"13*",'Accounting data'!$J$2:$J$37002,"3*",'Accounting data'!$K$2:$K$37002,"61*")</f>
        <v>0</v>
      </c>
    </row>
    <row r="97" spans="1:5" x14ac:dyDescent="0.2">
      <c r="A97" s="522" t="s">
        <v>1006</v>
      </c>
      <c r="B97" s="524">
        <v>700</v>
      </c>
      <c r="C97" s="522">
        <v>1000</v>
      </c>
      <c r="D97" s="522">
        <v>6100</v>
      </c>
      <c r="E97" s="523">
        <f>SUMIFS('Accounting data'!$G$2:$G$37002,'Accounting data'!$H$2:$H$37002,"11*",'Accounting data'!$I$2:$I$37002,"7*",'Accounting data'!$J$2:$J$37002,"1*",'Accounting data'!$K$2:$K$37002,"61*")+SUMIFS('Accounting data'!$G$2:$G$37002,'Accounting data'!$H$2:$H$37002,"12*",'Accounting data'!$I$2:$I$37002,"7*",'Accounting data'!$J$2:$J$37002,"1*",'Accounting data'!$K$2:$K$37002,"61*")+SUMIFS('Accounting data'!$G$2:$G$37002,'Accounting data'!$H$2:$H$37002,"13*",'Accounting data'!$I$2:$I$37002,"7*",'Accounting data'!$J$2:$J$37002,"1*",'Accounting data'!$K$2:$K$37002,"61*")</f>
        <v>0</v>
      </c>
    </row>
    <row r="98" spans="1:5" x14ac:dyDescent="0.2">
      <c r="A98" s="522" t="s">
        <v>1006</v>
      </c>
      <c r="B98" s="524">
        <v>800</v>
      </c>
      <c r="C98" s="522">
        <v>1000</v>
      </c>
      <c r="D98" s="522">
        <v>6100</v>
      </c>
      <c r="E98" s="523">
        <f>SUMIFS('Accounting data'!$G$2:$G$37002,'Accounting data'!$H$2:$H$37002,"11*",'Accounting data'!$I$2:$I$37002,"8*",'Accounting data'!$J$2:$J$37002,"1*",'Accounting data'!$K$2:$K$37002,"61*")+SUMIFS('Accounting data'!$G$2:$G$37002,'Accounting data'!$H$2:$H$37002,"12*",'Accounting data'!$I$2:$I$37002,"8*",'Accounting data'!$J$2:$J$37002,"1*",'Accounting data'!$K$2:$K$37002,"61*")+SUMIFS('Accounting data'!$G$2:$G$37002,'Accounting data'!$H$2:$H$37002,"13*",'Accounting data'!$I$2:$I$37002,"8*",'Accounting data'!$J$2:$J$37002,"1*",'Accounting data'!$K$2:$K$37002,"61*")</f>
        <v>0</v>
      </c>
    </row>
    <row r="99" spans="1:5" x14ac:dyDescent="0.2">
      <c r="A99" s="522" t="s">
        <v>1006</v>
      </c>
      <c r="B99" s="524">
        <v>900</v>
      </c>
      <c r="C99" s="522">
        <v>1000</v>
      </c>
      <c r="D99" s="522">
        <v>6100</v>
      </c>
      <c r="E99" s="523">
        <f>SUMIFS('Accounting data'!$G$2:$G$37002,'Accounting data'!$H$2:$H$37002,"11*",'Accounting data'!$I$2:$I$37002,"9*",'Accounting data'!$J$2:$J$37002,"1*",'Accounting data'!$K$2:$K$37002,"61*")+SUMIFS('Accounting data'!$G$2:$G$37002,'Accounting data'!$H$2:$H$37002,"12*",'Accounting data'!$I$2:$I$37002,"9*",'Accounting data'!$J$2:$J$37002,"1*",'Accounting data'!$K$2:$K$37002,"61*")+SUMIFS('Accounting data'!$G$2:$G$37002,'Accounting data'!$H$2:$H$37002,"13*",'Accounting data'!$I$2:$I$37002,"9*",'Accounting data'!$J$2:$J$37002,"1*",'Accounting data'!$K$2:$K$37002,"61*")</f>
        <v>0</v>
      </c>
    </row>
    <row r="100" spans="1:5" x14ac:dyDescent="0.2">
      <c r="A100" s="522" t="s">
        <v>1006</v>
      </c>
      <c r="B100" s="524">
        <v>700</v>
      </c>
      <c r="C100" s="522">
        <v>2000</v>
      </c>
      <c r="D100" s="522">
        <v>6100</v>
      </c>
      <c r="E100" s="523">
        <f>SUMIFS('Accounting data'!$G$2:$G$37002,'Accounting data'!$H$2:$H$37002,"11*",'Accounting data'!$I$2:$I$37002,"7*",'Accounting data'!$J$2:$J$37002,"2*",'Accounting data'!$K$2:$K$37002,"61*")+SUMIFS('Accounting data'!$G$2:$G$37002,'Accounting data'!$H$2:$H$37002,"12*",'Accounting data'!$I$2:$I$37002,"7*",'Accounting data'!$J$2:$J$37002,"2*",'Accounting data'!$K$2:$K$37002,"61*")+SUMIFS('Accounting data'!$G$2:$G$37002,'Accounting data'!$H$2:$H$37002,"13*",'Accounting data'!$I$2:$I$37002,"7*",'Accounting data'!$J$2:$J$37002,"2*",'Accounting data'!$K$2:$K$37002,"61*")</f>
        <v>0</v>
      </c>
    </row>
    <row r="101" spans="1:5" x14ac:dyDescent="0.2">
      <c r="A101" s="522" t="s">
        <v>1006</v>
      </c>
      <c r="B101" s="524">
        <v>800</v>
      </c>
      <c r="C101" s="522">
        <v>2000</v>
      </c>
      <c r="D101" s="522">
        <v>6100</v>
      </c>
      <c r="E101" s="523">
        <f>SUMIFS('Accounting data'!$G$2:$G$37002,'Accounting data'!$H$2:$H$37002,"11*",'Accounting data'!$I$2:$I$37002,"8*",'Accounting data'!$J$2:$J$37002,"2*",'Accounting data'!$K$2:$K$37002,"61*")+SUMIFS('Accounting data'!$G$2:$G$37002,'Accounting data'!$H$2:$H$37002,"12*",'Accounting data'!$I$2:$I$37002,"8*",'Accounting data'!$J$2:$J$37002,"2*",'Accounting data'!$K$2:$K$37002,"61*")+SUMIFS('Accounting data'!$G$2:$G$37002,'Accounting data'!$H$2:$H$37002,"13*",'Accounting data'!$I$2:$I$37002,"8*",'Accounting data'!$J$2:$J$37002,"2*",'Accounting data'!$K$2:$K$37002,"61*")</f>
        <v>0</v>
      </c>
    </row>
    <row r="102" spans="1:5" x14ac:dyDescent="0.2">
      <c r="A102" s="522" t="s">
        <v>1006</v>
      </c>
      <c r="B102" s="524">
        <v>900</v>
      </c>
      <c r="C102" s="522">
        <v>2000</v>
      </c>
      <c r="D102" s="522">
        <v>6100</v>
      </c>
      <c r="E102" s="523">
        <f>SUMIFS('Accounting data'!$G$2:$G$37002,'Accounting data'!$H$2:$H$37002,"11*",'Accounting data'!$I$2:$I$37002,"9*",'Accounting data'!$J$2:$J$37002,"2*",'Accounting data'!$K$2:$K$37002,"61*")+SUMIFS('Accounting data'!$G$2:$G$37002,'Accounting data'!$H$2:$H$37002,"12*",'Accounting data'!$I$2:$I$37002,"9*",'Accounting data'!$J$2:$J$37002,"2*",'Accounting data'!$K$2:$K$37002,"61*")+SUMIFS('Accounting data'!$G$2:$G$37002,'Accounting data'!$H$2:$H$37002,"13*",'Accounting data'!$I$2:$I$37002,"9*",'Accounting data'!$J$2:$J$37002,"2*",'Accounting data'!$K$2:$K$37002,"61*")</f>
        <v>0</v>
      </c>
    </row>
    <row r="103" spans="1:5" x14ac:dyDescent="0.2">
      <c r="A103" s="522" t="s">
        <v>1006</v>
      </c>
      <c r="B103" s="524">
        <v>700</v>
      </c>
      <c r="C103" s="522">
        <v>3000</v>
      </c>
      <c r="D103" s="522">
        <v>6100</v>
      </c>
      <c r="E103" s="523">
        <f>SUMIFS('Accounting data'!$G$2:$G$37002,'Accounting data'!$H$2:$H$37002,"11*",'Accounting data'!$I$2:$I$37002,"7*",'Accounting data'!$J$2:$J$37002,"3*",'Accounting data'!$K$2:$K$37002,"61*")+SUMIFS('Accounting data'!$G$2:$G$37002,'Accounting data'!$H$2:$H$37002,"12*",'Accounting data'!$I$2:$I$37002,"7*",'Accounting data'!$J$2:$J$37002,"3*",'Accounting data'!$K$2:$K$37002,"61*")+SUMIFS('Accounting data'!$G$2:$G$37002,'Accounting data'!$H$2:$H$37002,"13*",'Accounting data'!$I$2:$I$37002,"7*",'Accounting data'!$J$2:$J$37002,"3*",'Accounting data'!$K$2:$K$37002,"61*")</f>
        <v>0</v>
      </c>
    </row>
    <row r="104" spans="1:5" x14ac:dyDescent="0.2">
      <c r="A104" s="522" t="s">
        <v>1006</v>
      </c>
      <c r="B104" s="524">
        <v>800</v>
      </c>
      <c r="C104" s="522">
        <v>3000</v>
      </c>
      <c r="D104" s="522">
        <v>6100</v>
      </c>
      <c r="E104" s="523">
        <f>SUMIFS('Accounting data'!$G$2:$G$37002,'Accounting data'!$H$2:$H$37002,"11*",'Accounting data'!$I$2:$I$37002,"8*",'Accounting data'!$J$2:$J$37002,"3*",'Accounting data'!$K$2:$K$37002,"61*")+SUMIFS('Accounting data'!$G$2:$G$37002,'Accounting data'!$H$2:$H$37002,"12*",'Accounting data'!$I$2:$I$37002,"8*",'Accounting data'!$J$2:$J$37002,"3*",'Accounting data'!$K$2:$K$37002,"61*")+SUMIFS('Accounting data'!$G$2:$G$37002,'Accounting data'!$H$2:$H$37002,"13*",'Accounting data'!$I$2:$I$37002,"8*",'Accounting data'!$J$2:$J$37002,"3*",'Accounting data'!$K$2:$K$37002,"61*")</f>
        <v>0</v>
      </c>
    </row>
    <row r="105" spans="1:5" x14ac:dyDescent="0.2">
      <c r="A105" s="522" t="s">
        <v>1006</v>
      </c>
      <c r="B105" s="524">
        <v>900</v>
      </c>
      <c r="C105" s="522">
        <v>3000</v>
      </c>
      <c r="D105" s="522">
        <v>6100</v>
      </c>
      <c r="E105" s="523">
        <f>SUMIFS('Accounting data'!$G$2:$G$37002,'Accounting data'!$H$2:$H$37002,"11*",'Accounting data'!$I$2:$I$37002,"9*",'Accounting data'!$J$2:$J$37002,"3*",'Accounting data'!$K$2:$K$37002,"61*")+SUMIFS('Accounting data'!$G$2:$G$37002,'Accounting data'!$H$2:$H$37002,"12*",'Accounting data'!$I$2:$I$37002,"9*",'Accounting data'!$J$2:$J$37002,"3*",'Accounting data'!$K$2:$K$37002,"61*")+SUMIFS('Accounting data'!$G$2:$G$37002,'Accounting data'!$H$2:$H$37002,"13*",'Accounting data'!$I$2:$I$37002,"9*",'Accounting data'!$J$2:$J$37002,"3*",'Accounting data'!$K$2:$K$37002,"61*")</f>
        <v>0</v>
      </c>
    </row>
    <row r="106" spans="1:5" ht="15" x14ac:dyDescent="0.25">
      <c r="A106" s="525" t="s">
        <v>1007</v>
      </c>
      <c r="B106" s="525"/>
      <c r="C106" s="525"/>
      <c r="D106" s="525"/>
      <c r="E106" s="526">
        <f>(E94+E95+E96)-(E97+E98+E99+E100+E101+E102+E103+E104+E105)</f>
        <v>0</v>
      </c>
    </row>
    <row r="107" spans="1:5" x14ac:dyDescent="0.2">
      <c r="A107" s="522" t="s">
        <v>990</v>
      </c>
      <c r="B107" s="522" t="s">
        <v>990</v>
      </c>
      <c r="C107" s="522">
        <v>1000</v>
      </c>
      <c r="D107" s="522">
        <v>6200</v>
      </c>
      <c r="E107" s="523">
        <f>SUMIFS('Accounting data'!$G$2:$G$37002,'Accounting data'!$J$2:$J$37002,"1*",'Accounting data'!$K$2:$K$37002,"62*")</f>
        <v>3286082</v>
      </c>
    </row>
    <row r="108" spans="1:5" x14ac:dyDescent="0.2">
      <c r="A108" s="522" t="s">
        <v>991</v>
      </c>
      <c r="B108" s="522" t="s">
        <v>990</v>
      </c>
      <c r="C108" s="522">
        <v>1000</v>
      </c>
      <c r="D108" s="522">
        <v>6200</v>
      </c>
      <c r="E108" s="523">
        <f>SUMIFS('Accounting data'!$G$2:$G$37002,'Accounting data'!$H$2:$H$37002,"9999*",'Accounting data'!$J$2:$J$37002,"1*",'Accounting data'!$K$2:$K$37002,"62*")</f>
        <v>0</v>
      </c>
    </row>
    <row r="109" spans="1:5" x14ac:dyDescent="0.2">
      <c r="A109" s="522" t="s">
        <v>990</v>
      </c>
      <c r="B109" s="522" t="s">
        <v>992</v>
      </c>
      <c r="C109" s="522">
        <v>1000</v>
      </c>
      <c r="D109" s="522">
        <v>6200</v>
      </c>
      <c r="E109" s="523">
        <f>SUMIFS('Accounting data'!$G$2:$G$37002,'Accounting data'!$I$2:$I$37002,"7*",'Accounting data'!$J$2:$J$37002,"1*",'Accounting data'!$K$2:$K$37002,"62*")+SUMIFS('Accounting data'!$G$2:$G$37002,'Accounting data'!$I$2:$I$37002,"8*",'Accounting data'!$J$2:$J$37002,"1*",'Accounting data'!$K$2:$K$37002,"62*")+SUMIFS('Accounting data'!$G$2:$G$37002,'Accounting data'!$I$2:$I$37002,"9*",'Accounting data'!$J$2:$J$37002,"1*",'Accounting data'!$K$2:$K$37002,"62*")</f>
        <v>0</v>
      </c>
    </row>
    <row r="110" spans="1:5" x14ac:dyDescent="0.2">
      <c r="A110" s="524" t="s">
        <v>991</v>
      </c>
      <c r="B110" s="522" t="s">
        <v>992</v>
      </c>
      <c r="C110" s="522">
        <v>1000</v>
      </c>
      <c r="D110" s="522">
        <v>6200</v>
      </c>
      <c r="E110" s="523">
        <f>SUMIFS('Accounting data'!$G$2:$G$37002,'Accounting data'!$H$2:$H$37002,"9999*",'Accounting data'!$I$2:$I$37002,"7*",'Accounting data'!$J$2:$J$37002,"1*",'Accounting data'!$K$2:$K$37002,"62*")+SUMIFS('Accounting data'!$G$2:$G$37002,'Accounting data'!$H$2:$H$37002,"9999*",'Accounting data'!$I$2:$I$37002,"8*",'Accounting data'!$J$2:$J$37002,"1*",'Accounting data'!$K$2:$K$37002,"62*")+SUMIFS('Accounting data'!$G$2:$G$37002,'Accounting data'!$H$2:$H$37002,"9999*",'Accounting data'!$I$2:$I$37002,"9*",'Accounting data'!$J$2:$J$37002,"1*",'Accounting data'!$K$2:$K$37002,"62*")</f>
        <v>0</v>
      </c>
    </row>
    <row r="113" spans="1:5" ht="15" x14ac:dyDescent="0.25">
      <c r="A113" s="525" t="s">
        <v>1008</v>
      </c>
      <c r="B113" s="525"/>
      <c r="C113" s="525"/>
      <c r="D113" s="525"/>
      <c r="E113" s="526">
        <f>(E107-E108-E109)+(E110+E111+E112)</f>
        <v>3286082</v>
      </c>
    </row>
    <row r="114" spans="1:5" x14ac:dyDescent="0.2">
      <c r="A114" s="522" t="s">
        <v>990</v>
      </c>
      <c r="B114" s="522" t="s">
        <v>990</v>
      </c>
      <c r="C114" s="522">
        <v>2100</v>
      </c>
      <c r="D114" s="522">
        <v>6200</v>
      </c>
      <c r="E114" s="523">
        <f>SUMIFS('Accounting data'!$G$2:$G$37002,'Accounting data'!$J$2:$J$37002,"21*",'Accounting data'!$K$2:$K$37002,"62*")</f>
        <v>380331</v>
      </c>
    </row>
    <row r="115" spans="1:5" x14ac:dyDescent="0.2">
      <c r="A115" s="522" t="s">
        <v>991</v>
      </c>
      <c r="B115" s="522" t="s">
        <v>990</v>
      </c>
      <c r="C115" s="522">
        <v>2100</v>
      </c>
      <c r="D115" s="522">
        <v>6200</v>
      </c>
      <c r="E115" s="523">
        <f>SUMIFS('Accounting data'!$G$2:$G$37002,'Accounting data'!$H$2:$H$37002,"9999*",'Accounting data'!$J$2:$J$37002,"21*",'Accounting data'!$K$2:$K$37002,"62*")</f>
        <v>0</v>
      </c>
    </row>
    <row r="116" spans="1:5" x14ac:dyDescent="0.2">
      <c r="A116" s="522" t="s">
        <v>990</v>
      </c>
      <c r="B116" s="522" t="s">
        <v>992</v>
      </c>
      <c r="C116" s="522">
        <v>2100</v>
      </c>
      <c r="D116" s="522">
        <v>6200</v>
      </c>
      <c r="E116" s="523">
        <f>SUMIFS('Accounting data'!$G$2:$G$37002,'Accounting data'!$I$2:$I$37002,"7*",'Accounting data'!$J$2:$J$37002,"21*",'Accounting data'!$K$2:$K$37002,"62*")+SUMIFS('Accounting data'!$G$2:$G$37002,'Accounting data'!$I$2:$I$37002,"8*",'Accounting data'!$J$2:$J$37002,"21*",'Accounting data'!$K$2:$K$37002,"62*")+SUMIFS('Accounting data'!$G$2:$G$37002,'Accounting data'!$I$2:$I$37002,"9*",'Accounting data'!$J$2:$J$37002,"21*",'Accounting data'!$K$2:$K$37002,"62*")</f>
        <v>0</v>
      </c>
    </row>
    <row r="117" spans="1:5" x14ac:dyDescent="0.2">
      <c r="A117" s="524" t="s">
        <v>991</v>
      </c>
      <c r="B117" s="522" t="s">
        <v>992</v>
      </c>
      <c r="C117" s="522">
        <v>2100</v>
      </c>
      <c r="D117" s="522">
        <v>6200</v>
      </c>
      <c r="E117" s="523">
        <f>SUMIFS('Accounting data'!$G$2:$G$37002,'Accounting data'!$H$2:$H$37002,"9999*",'Accounting data'!$I$2:$I$37002,"7*",'Accounting data'!$J$2:$J$37002,"21*",'Accounting data'!$K$2:$K$37002,"62*")+SUMIFS('Accounting data'!$G$2:$G$37002,'Accounting data'!$H$2:$H$37002,"9999*",'Accounting data'!$I$2:$I$37002,"8*",'Accounting data'!$J$2:$J$37002,"21*",'Accounting data'!$K$2:$K$37002,"62*")+SUMIFS('Accounting data'!$G$2:$G$37002,'Accounting data'!$H$2:$H$37002,"9999*",'Accounting data'!$I$2:$I$37002,"9*",'Accounting data'!$J$2:$J$37002,"21*",'Accounting data'!$K$2:$K$37002,"62*")</f>
        <v>0</v>
      </c>
    </row>
    <row r="118" spans="1:5" x14ac:dyDescent="0.2">
      <c r="A118" s="522"/>
      <c r="B118" s="522"/>
      <c r="C118" s="522"/>
      <c r="D118" s="522"/>
      <c r="E118" s="523"/>
    </row>
    <row r="119" spans="1:5" x14ac:dyDescent="0.2">
      <c r="A119" s="522"/>
      <c r="B119" s="522"/>
      <c r="C119" s="522"/>
      <c r="D119" s="522"/>
      <c r="E119" s="523"/>
    </row>
    <row r="120" spans="1:5" ht="15" x14ac:dyDescent="0.25">
      <c r="A120" s="525" t="s">
        <v>1009</v>
      </c>
      <c r="B120" s="525"/>
      <c r="C120" s="525"/>
      <c r="D120" s="525"/>
      <c r="E120" s="526">
        <f>(E114-E115-E116)+(E117+E118+E119)</f>
        <v>380331</v>
      </c>
    </row>
    <row r="121" spans="1:5" x14ac:dyDescent="0.2">
      <c r="A121" s="522" t="s">
        <v>990</v>
      </c>
      <c r="B121" s="522" t="s">
        <v>990</v>
      </c>
      <c r="C121" s="522">
        <v>2200</v>
      </c>
      <c r="D121" s="522">
        <v>6200</v>
      </c>
      <c r="E121" s="523">
        <f>SUMIFS('Accounting data'!$G$2:$G$37002,'Accounting data'!$J$2:$J$37002,"22*",'Accounting data'!$K$2:$K$37002,"62*")</f>
        <v>120732</v>
      </c>
    </row>
    <row r="122" spans="1:5" x14ac:dyDescent="0.2">
      <c r="A122" s="522" t="s">
        <v>991</v>
      </c>
      <c r="B122" s="522" t="s">
        <v>990</v>
      </c>
      <c r="C122" s="522">
        <v>2200</v>
      </c>
      <c r="D122" s="522">
        <v>6200</v>
      </c>
      <c r="E122" s="523">
        <f>SUMIFS('Accounting data'!$G$2:$G$37002,'Accounting data'!$H$2:$H$37002,"9999*",'Accounting data'!$J$2:$J$37002,"22*",'Accounting data'!$K$2:$K$37002,"62*")</f>
        <v>0</v>
      </c>
    </row>
    <row r="123" spans="1:5" x14ac:dyDescent="0.2">
      <c r="A123" s="522" t="s">
        <v>990</v>
      </c>
      <c r="B123" s="522" t="s">
        <v>992</v>
      </c>
      <c r="C123" s="522">
        <v>2200</v>
      </c>
      <c r="D123" s="522">
        <v>6200</v>
      </c>
      <c r="E123" s="523">
        <f>SUMIFS('Accounting data'!$G$2:$G$37002,'Accounting data'!$I$2:$I$37002,"7*",'Accounting data'!$J$2:$J$37002,"22*",'Accounting data'!$K$2:$K$37002,"62*")+SUMIFS('Accounting data'!$G$2:$G$37002,'Accounting data'!$I$2:$I$37002,"8*",'Accounting data'!$J$2:$J$37002,"22*",'Accounting data'!$K$2:$K$37002,"62*")+SUMIFS('Accounting data'!$G$2:$G$37002,'Accounting data'!$I$2:$I$37002,"9*",'Accounting data'!$J$2:$J$37002,"22*",'Accounting data'!$K$2:$K$37002,"62*")</f>
        <v>0</v>
      </c>
    </row>
    <row r="124" spans="1:5" x14ac:dyDescent="0.2">
      <c r="A124" s="524" t="s">
        <v>991</v>
      </c>
      <c r="B124" s="522" t="s">
        <v>992</v>
      </c>
      <c r="C124" s="522">
        <v>2200</v>
      </c>
      <c r="D124" s="522">
        <v>6200</v>
      </c>
      <c r="E124" s="523">
        <f>SUMIFS('Accounting data'!$G$2:$G$37002,'Accounting data'!$H$2:$H$37002,"9999*",'Accounting data'!$I$2:$I$37002,"7*",'Accounting data'!$J$2:$J$37002,"22*",'Accounting data'!$K$2:$K$37002,"62*")+SUMIFS('Accounting data'!$G$2:$G$37002,'Accounting data'!$H$2:$H$37002,"9999*",'Accounting data'!$I$2:$I$37002,"8*",'Accounting data'!$J$2:$J$37002,"22*",'Accounting data'!$K$2:$K$37002,"62*")+SUMIFS('Accounting data'!$G$2:$G$37002,'Accounting data'!$H$2:$H$37002,"9999*",'Accounting data'!$I$2:$I$37002,"9*",'Accounting data'!$J$2:$J$37002,"22*",'Accounting data'!$K$2:$K$37002,"62*")</f>
        <v>0</v>
      </c>
    </row>
    <row r="125" spans="1:5" x14ac:dyDescent="0.2">
      <c r="A125" s="522"/>
      <c r="B125" s="522"/>
      <c r="C125" s="522"/>
      <c r="D125" s="522"/>
      <c r="E125" s="523"/>
    </row>
    <row r="126" spans="1:5" x14ac:dyDescent="0.2">
      <c r="A126" s="522"/>
      <c r="B126" s="522"/>
      <c r="C126" s="522"/>
      <c r="D126" s="522"/>
      <c r="E126" s="523"/>
    </row>
    <row r="127" spans="1:5" ht="15" x14ac:dyDescent="0.25">
      <c r="A127" s="525" t="s">
        <v>1010</v>
      </c>
      <c r="B127" s="525"/>
      <c r="C127" s="525"/>
      <c r="D127" s="525"/>
      <c r="E127" s="526">
        <f>(E121-E122-E123)+(E124+E125+E126)</f>
        <v>120732</v>
      </c>
    </row>
    <row r="128" spans="1:5" x14ac:dyDescent="0.2">
      <c r="A128" s="522" t="s">
        <v>990</v>
      </c>
      <c r="B128" s="522" t="s">
        <v>990</v>
      </c>
      <c r="C128" s="522">
        <v>2300</v>
      </c>
      <c r="D128" s="522">
        <v>6200</v>
      </c>
      <c r="E128" s="523">
        <f>SUMIFS('Accounting data'!$G$2:$G$37002,'Accounting data'!$J$2:$J$37002,"23*",'Accounting data'!$K$2:$K$37002,"62*")</f>
        <v>0</v>
      </c>
    </row>
    <row r="129" spans="1:5" x14ac:dyDescent="0.2">
      <c r="A129" s="522" t="s">
        <v>991</v>
      </c>
      <c r="B129" s="522" t="s">
        <v>990</v>
      </c>
      <c r="C129" s="522">
        <v>2300</v>
      </c>
      <c r="D129" s="522">
        <v>6200</v>
      </c>
      <c r="E129" s="523">
        <f>SUMIFS('Accounting data'!$G$2:$G$37002,'Accounting data'!$H$2:$H$37002,"9999*",'Accounting data'!$J$2:$J$37002,"23*",'Accounting data'!$K$2:$K$37002,"62*")</f>
        <v>0</v>
      </c>
    </row>
    <row r="130" spans="1:5" x14ac:dyDescent="0.2">
      <c r="A130" s="522" t="s">
        <v>990</v>
      </c>
      <c r="B130" s="522" t="s">
        <v>992</v>
      </c>
      <c r="C130" s="522">
        <v>2300</v>
      </c>
      <c r="D130" s="522">
        <v>6200</v>
      </c>
      <c r="E130" s="523">
        <f>SUMIFS('Accounting data'!$G$2:$G$37002,'Accounting data'!$I$2:$I$37002,"7*",'Accounting data'!$J$2:$J$37002,"23*",'Accounting data'!$K$2:$K$37002,"62*")+SUMIFS('Accounting data'!$G$2:$G$37002,'Accounting data'!$I$2:$I$37002,"8*",'Accounting data'!$J$2:$J$37002,"23*",'Accounting data'!$K$2:$K$37002,"62*")+SUMIFS('Accounting data'!$G$2:$G$37002,'Accounting data'!$I$2:$I$37002,"9*",'Accounting data'!$J$2:$J$37002,"23*",'Accounting data'!$K$2:$K$37002,"62*")</f>
        <v>0</v>
      </c>
    </row>
    <row r="131" spans="1:5" x14ac:dyDescent="0.2">
      <c r="A131" s="524" t="s">
        <v>991</v>
      </c>
      <c r="B131" s="522" t="s">
        <v>992</v>
      </c>
      <c r="C131" s="522">
        <v>2300</v>
      </c>
      <c r="D131" s="522">
        <v>6200</v>
      </c>
      <c r="E131" s="523">
        <f>SUMIFS('Accounting data'!$G$2:$G$37002,'Accounting data'!$H$2:$H$37002,"9999*",'Accounting data'!$I$2:$I$37002,"7*",'Accounting data'!$J$2:$J$37002,"23*",'Accounting data'!$K$2:$K$37002,"62*")+SUMIFS('Accounting data'!$G$2:$G$37002,'Accounting data'!$H$2:$H$37002,"9999*",'Accounting data'!$I$2:$I$37002,"8*",'Accounting data'!$J$2:$J$37002,"23*",'Accounting data'!$K$2:$K$37002,"62*")+SUMIFS('Accounting data'!$G$2:$G$37002,'Accounting data'!$H$2:$H$37002,"9999*",'Accounting data'!$I$2:$I$37002,"9*",'Accounting data'!$J$2:$J$37002,"23*",'Accounting data'!$K$2:$K$37002,"62*")</f>
        <v>0</v>
      </c>
    </row>
    <row r="132" spans="1:5" x14ac:dyDescent="0.2">
      <c r="A132" s="522"/>
      <c r="B132" s="522"/>
      <c r="C132" s="522"/>
      <c r="D132" s="522"/>
      <c r="E132" s="523"/>
    </row>
    <row r="133" spans="1:5" x14ac:dyDescent="0.2">
      <c r="A133" s="522"/>
      <c r="B133" s="522"/>
      <c r="C133" s="522"/>
      <c r="D133" s="522"/>
      <c r="E133" s="523"/>
    </row>
    <row r="134" spans="1:5" ht="15" x14ac:dyDescent="0.25">
      <c r="A134" s="525" t="s">
        <v>1011</v>
      </c>
      <c r="B134" s="525"/>
      <c r="C134" s="525"/>
      <c r="D134" s="525"/>
      <c r="E134" s="526">
        <f>(E128-E129-E130)+(E131+E132+E133)</f>
        <v>0</v>
      </c>
    </row>
    <row r="135" spans="1:5" x14ac:dyDescent="0.2">
      <c r="A135" s="522" t="s">
        <v>990</v>
      </c>
      <c r="B135" s="522" t="s">
        <v>990</v>
      </c>
      <c r="C135" s="522">
        <v>2400</v>
      </c>
      <c r="D135" s="522">
        <v>6200</v>
      </c>
      <c r="E135" s="523">
        <f>SUMIFS('Accounting data'!$G$2:$G$37002,'Accounting data'!$J$2:$J$37002,"24*",'Accounting data'!$K$2:$K$37002,"62*")</f>
        <v>223766</v>
      </c>
    </row>
    <row r="136" spans="1:5" x14ac:dyDescent="0.2">
      <c r="A136" s="522" t="s">
        <v>991</v>
      </c>
      <c r="B136" s="522" t="s">
        <v>990</v>
      </c>
      <c r="C136" s="522">
        <v>2400</v>
      </c>
      <c r="D136" s="522">
        <v>6200</v>
      </c>
      <c r="E136" s="523">
        <f>SUMIFS('Accounting data'!$G$2:$G$37002,'Accounting data'!$H$2:$H$37002,"9999*",'Accounting data'!$J$2:$J$37002,"24*",'Accounting data'!$K$2:$K$37002,"62*")</f>
        <v>0</v>
      </c>
    </row>
    <row r="137" spans="1:5" x14ac:dyDescent="0.2">
      <c r="A137" s="522" t="s">
        <v>990</v>
      </c>
      <c r="B137" s="522" t="s">
        <v>992</v>
      </c>
      <c r="C137" s="522">
        <v>2400</v>
      </c>
      <c r="D137" s="522">
        <v>6200</v>
      </c>
      <c r="E137" s="523">
        <f>SUMIFS('Accounting data'!$G$2:$G$37002,'Accounting data'!$I$2:$I$37002,"7*",'Accounting data'!$J$2:$J$37002,"24*",'Accounting data'!$K$2:$K$37002,"62*")+SUMIFS('Accounting data'!$G$2:$G$37002,'Accounting data'!$I$2:$I$37002,"8*",'Accounting data'!$J$2:$J$37002,"24*",'Accounting data'!$K$2:$K$37002,"62*")+SUMIFS('Accounting data'!$G$2:$G$37002,'Accounting data'!$I$2:$I$37002,"9*",'Accounting data'!$J$2:$J$37002,"24*",'Accounting data'!$K$2:$K$37002,"62*")</f>
        <v>0</v>
      </c>
    </row>
    <row r="138" spans="1:5" x14ac:dyDescent="0.2">
      <c r="A138" s="524" t="s">
        <v>991</v>
      </c>
      <c r="B138" s="522" t="s">
        <v>992</v>
      </c>
      <c r="C138" s="522">
        <v>2400</v>
      </c>
      <c r="D138" s="522">
        <v>6200</v>
      </c>
      <c r="E138" s="523">
        <f>SUMIFS('Accounting data'!$G$2:$G$37002,'Accounting data'!$H$2:$H$37002,"9999*",'Accounting data'!$I$2:$I$37002,"7*",'Accounting data'!$J$2:$J$37002,"24*",'Accounting data'!$K$2:$K$37002,"62*")+SUMIFS('Accounting data'!$G$2:$G$37002,'Accounting data'!$H$2:$H$37002,"9999*",'Accounting data'!$I$2:$I$37002,"8*",'Accounting data'!$J$2:$J$37002,"24*",'Accounting data'!$K$2:$K$37002,"62*")+SUMIFS('Accounting data'!$G$2:$G$37002,'Accounting data'!$H$2:$H$37002,"9999*",'Accounting data'!$I$2:$I$37002,"9*",'Accounting data'!$J$2:$J$37002,"24*",'Accounting data'!$K$2:$K$37002,"62*")</f>
        <v>0</v>
      </c>
    </row>
    <row r="139" spans="1:5" x14ac:dyDescent="0.2">
      <c r="A139" s="522"/>
      <c r="B139" s="522"/>
      <c r="C139" s="522"/>
      <c r="D139" s="522"/>
      <c r="E139" s="523"/>
    </row>
    <row r="140" spans="1:5" x14ac:dyDescent="0.2">
      <c r="A140" s="522"/>
      <c r="B140" s="522"/>
      <c r="C140" s="522"/>
      <c r="D140" s="522"/>
      <c r="E140" s="523"/>
    </row>
    <row r="141" spans="1:5" ht="15" x14ac:dyDescent="0.25">
      <c r="A141" s="525" t="s">
        <v>1012</v>
      </c>
      <c r="B141" s="525"/>
      <c r="C141" s="525"/>
      <c r="D141" s="525"/>
      <c r="E141" s="526">
        <f>(E135-E136-E137)+(E138+E139+E140)</f>
        <v>223766</v>
      </c>
    </row>
    <row r="142" spans="1:5" x14ac:dyDescent="0.2">
      <c r="A142" s="522" t="s">
        <v>990</v>
      </c>
      <c r="B142" s="522" t="s">
        <v>990</v>
      </c>
      <c r="C142" s="522">
        <v>2500</v>
      </c>
      <c r="D142" s="522">
        <v>6200</v>
      </c>
      <c r="E142" s="523">
        <f>SUMIFS('Accounting data'!$G$2:$G$37002,'Accounting data'!$J$2:$J$37002,"25*",'Accounting data'!$K$2:$K$37002,"62*")</f>
        <v>40027</v>
      </c>
    </row>
    <row r="143" spans="1:5" x14ac:dyDescent="0.2">
      <c r="A143" s="522" t="s">
        <v>991</v>
      </c>
      <c r="B143" s="522" t="s">
        <v>990</v>
      </c>
      <c r="C143" s="522">
        <v>2500</v>
      </c>
      <c r="D143" s="522">
        <v>6200</v>
      </c>
      <c r="E143" s="523">
        <f>SUMIFS('Accounting data'!$G$2:$G$37002,'Accounting data'!$H$2:$H$37002,"9999*",'Accounting data'!$J$2:$J$37002,"25*",'Accounting data'!$K$2:$K$37002,"62*")</f>
        <v>0</v>
      </c>
    </row>
    <row r="144" spans="1:5" x14ac:dyDescent="0.2">
      <c r="A144" s="522" t="s">
        <v>990</v>
      </c>
      <c r="B144" s="522" t="s">
        <v>992</v>
      </c>
      <c r="C144" s="522">
        <v>2500</v>
      </c>
      <c r="D144" s="522">
        <v>6200</v>
      </c>
      <c r="E144" s="523">
        <f>SUMIFS('Accounting data'!$G$2:$G$37002,'Accounting data'!$I$2:$I$37002,"7*",'Accounting data'!$J$2:$J$37002,"25*",'Accounting data'!$K$2:$K$37002,"62*")+SUMIFS('Accounting data'!$G$2:$G$37002,'Accounting data'!$I$2:$I$37002,"8*",'Accounting data'!$J$2:$J$37002,"25*",'Accounting data'!$K$2:$K$37002,"62*")+SUMIFS('Accounting data'!$G$2:$G$37002,'Accounting data'!$I$2:$I$37002,"9*",'Accounting data'!$J$2:$J$37002,"25*",'Accounting data'!$K$2:$K$37002,"62*")</f>
        <v>0</v>
      </c>
    </row>
    <row r="145" spans="1:5" x14ac:dyDescent="0.2">
      <c r="A145" s="524" t="s">
        <v>991</v>
      </c>
      <c r="B145" s="522" t="s">
        <v>992</v>
      </c>
      <c r="C145" s="522">
        <v>2500</v>
      </c>
      <c r="D145" s="522">
        <v>6200</v>
      </c>
      <c r="E145" s="523">
        <f>SUMIFS('Accounting data'!$G$2:$G$37002,'Accounting data'!$H$2:$H$37002,"9999*",'Accounting data'!$I$2:$I$37002,"7*",'Accounting data'!$J$2:$J$37002,"25*",'Accounting data'!$K$2:$K$37002,"62*")+SUMIFS('Accounting data'!$G$2:$G$37002,'Accounting data'!$H$2:$H$37002,"9999*",'Accounting data'!$I$2:$I$37002,"8*",'Accounting data'!$J$2:$J$37002,"25*",'Accounting data'!$K$2:$K$37002,"62*")+SUMIFS('Accounting data'!$G$2:$G$37002,'Accounting data'!$H$2:$H$37002,"9999*",'Accounting data'!$I$2:$I$37002,"9*",'Accounting data'!$J$2:$J$37002,"25*",'Accounting data'!$K$2:$K$37002,"62*")</f>
        <v>0</v>
      </c>
    </row>
    <row r="146" spans="1:5" x14ac:dyDescent="0.2">
      <c r="A146" s="522"/>
      <c r="B146" s="522"/>
      <c r="C146" s="522"/>
      <c r="D146" s="522"/>
      <c r="E146" s="523"/>
    </row>
    <row r="147" spans="1:5" x14ac:dyDescent="0.2">
      <c r="A147" s="522"/>
      <c r="B147" s="522"/>
      <c r="C147" s="522"/>
      <c r="D147" s="522"/>
      <c r="E147" s="523"/>
    </row>
    <row r="148" spans="1:5" ht="15" x14ac:dyDescent="0.25">
      <c r="A148" s="525" t="s">
        <v>1013</v>
      </c>
      <c r="B148" s="525"/>
      <c r="C148" s="525"/>
      <c r="D148" s="525"/>
      <c r="E148" s="526">
        <f>(E142-E143-E144)+(E145+E146+E147)</f>
        <v>40027</v>
      </c>
    </row>
    <row r="149" spans="1:5" x14ac:dyDescent="0.2">
      <c r="A149" s="522" t="s">
        <v>990</v>
      </c>
      <c r="B149" s="522" t="s">
        <v>990</v>
      </c>
      <c r="C149" s="522">
        <v>2900</v>
      </c>
      <c r="D149" s="522">
        <v>6200</v>
      </c>
      <c r="E149" s="523">
        <f>SUMIFS('Accounting data'!$G$2:$G$37002,'Accounting data'!$J$2:$J$37002,"29*",'Accounting data'!$K$2:$K$37002,"62*")</f>
        <v>0</v>
      </c>
    </row>
    <row r="150" spans="1:5" x14ac:dyDescent="0.2">
      <c r="A150" s="522" t="s">
        <v>991</v>
      </c>
      <c r="B150" s="522" t="s">
        <v>990</v>
      </c>
      <c r="C150" s="522">
        <v>2900</v>
      </c>
      <c r="D150" s="522">
        <v>6200</v>
      </c>
      <c r="E150" s="523">
        <f>SUMIFS('Accounting data'!$G$2:$G$37002,'Accounting data'!$H$2:$H$37002,"9999*",'Accounting data'!$J$2:$J$37002,"29*",'Accounting data'!$K$2:$K$37002,"62*")</f>
        <v>0</v>
      </c>
    </row>
    <row r="151" spans="1:5" x14ac:dyDescent="0.2">
      <c r="A151" s="522" t="s">
        <v>990</v>
      </c>
      <c r="B151" s="522" t="s">
        <v>992</v>
      </c>
      <c r="C151" s="522">
        <v>2900</v>
      </c>
      <c r="D151" s="522">
        <v>6200</v>
      </c>
      <c r="E151" s="523">
        <f>SUMIFS('Accounting data'!$G$2:$G$37002,'Accounting data'!$I$2:$I$37002,"7*",'Accounting data'!$J$2:$J$37002,"29*",'Accounting data'!$K$2:$K$37002,"62*")+SUMIFS('Accounting data'!$G$2:$G$37002,'Accounting data'!$I$2:$I$37002,"8*",'Accounting data'!$J$2:$J$37002,"29*",'Accounting data'!$K$2:$K$37002,"62*")+SUMIFS('Accounting data'!$G$2:$G$37002,'Accounting data'!$I$2:$I$37002,"9*",'Accounting data'!$J$2:$J$37002,"29*",'Accounting data'!$K$2:$K$37002,"62*")</f>
        <v>0</v>
      </c>
    </row>
    <row r="152" spans="1:5" x14ac:dyDescent="0.2">
      <c r="A152" s="524" t="s">
        <v>991</v>
      </c>
      <c r="B152" s="522" t="s">
        <v>992</v>
      </c>
      <c r="C152" s="522">
        <v>2900</v>
      </c>
      <c r="D152" s="522">
        <v>6200</v>
      </c>
      <c r="E152" s="523">
        <f>SUMIFS('Accounting data'!$G$2:$G$37002,'Accounting data'!$H$2:$H$37002,"9999*",'Accounting data'!$I$2:$I$37002,"7*",'Accounting data'!$J$2:$J$37002,"29*",'Accounting data'!$K$2:$K$37002,"62*")+SUMIFS('Accounting data'!$G$2:$G$37002,'Accounting data'!$H$2:$H$37002,"9999*",'Accounting data'!$I$2:$I$37002,"8*",'Accounting data'!$J$2:$J$37002,"29*",'Accounting data'!$K$2:$K$37002,"62*")+SUMIFS('Accounting data'!$G$2:$G$37002,'Accounting data'!$H$2:$H$37002,"9999*",'Accounting data'!$I$2:$I$37002,"9*",'Accounting data'!$J$2:$J$37002,"29*",'Accounting data'!$K$2:$K$37002,"62*")</f>
        <v>0</v>
      </c>
    </row>
    <row r="153" spans="1:5" x14ac:dyDescent="0.2">
      <c r="A153" s="522"/>
      <c r="B153" s="522"/>
      <c r="C153" s="522"/>
      <c r="D153" s="522"/>
      <c r="E153" s="523"/>
    </row>
    <row r="154" spans="1:5" x14ac:dyDescent="0.2">
      <c r="A154" s="522"/>
      <c r="B154" s="522"/>
      <c r="C154" s="522"/>
      <c r="D154" s="522"/>
      <c r="E154" s="523"/>
    </row>
    <row r="155" spans="1:5" ht="15" x14ac:dyDescent="0.25">
      <c r="A155" s="525" t="s">
        <v>1014</v>
      </c>
      <c r="B155" s="525"/>
      <c r="C155" s="525"/>
      <c r="D155" s="525"/>
      <c r="E155" s="526">
        <f>(E149-E150-E151)+(E152+E153+E154)</f>
        <v>0</v>
      </c>
    </row>
    <row r="156" spans="1:5" x14ac:dyDescent="0.2">
      <c r="A156" s="522" t="s">
        <v>990</v>
      </c>
      <c r="B156" s="522" t="s">
        <v>990</v>
      </c>
      <c r="C156" s="522">
        <v>2600</v>
      </c>
      <c r="D156" s="522">
        <v>6200</v>
      </c>
      <c r="E156" s="523">
        <f>SUMIFS('Accounting data'!$G$2:$G$37002,'Accounting data'!$J$2:$J$37002,"26*",'Accounting data'!$K$2:$K$37002,"62*")</f>
        <v>68034</v>
      </c>
    </row>
    <row r="157" spans="1:5" x14ac:dyDescent="0.2">
      <c r="A157" s="522" t="s">
        <v>991</v>
      </c>
      <c r="B157" s="522" t="s">
        <v>990</v>
      </c>
      <c r="C157" s="522">
        <v>2600</v>
      </c>
      <c r="D157" s="522">
        <v>6200</v>
      </c>
      <c r="E157" s="523">
        <f>SUMIFS('Accounting data'!$G$2:$G$37002,'Accounting data'!$H$2:$H$37002,"9999*",'Accounting data'!$J$2:$J$37002,"26*",'Accounting data'!$K$2:$K$37002,"62*")</f>
        <v>0</v>
      </c>
    </row>
    <row r="158" spans="1:5" x14ac:dyDescent="0.2">
      <c r="A158" s="522" t="s">
        <v>990</v>
      </c>
      <c r="B158" s="522" t="s">
        <v>992</v>
      </c>
      <c r="C158" s="522">
        <v>2600</v>
      </c>
      <c r="D158" s="522">
        <v>6200</v>
      </c>
      <c r="E158" s="523">
        <f>SUMIFS('Accounting data'!$G$2:$G$37002,'Accounting data'!$I$2:$I$37002,"7*",'Accounting data'!$J$2:$J$37002,"26*",'Accounting data'!$K$2:$K$37002,"62*")+SUMIFS('Accounting data'!$G$2:$G$37002,'Accounting data'!$I$2:$I$37002,"8*",'Accounting data'!$J$2:$J$37002,"26*",'Accounting data'!$K$2:$K$37002,"62*")+SUMIFS('Accounting data'!$G$2:$G$37002,'Accounting data'!$I$2:$I$37002,"9*",'Accounting data'!$J$2:$J$37002,"26*",'Accounting data'!$K$2:$K$37002,"62*")</f>
        <v>0</v>
      </c>
    </row>
    <row r="159" spans="1:5" x14ac:dyDescent="0.2">
      <c r="A159" s="524" t="s">
        <v>991</v>
      </c>
      <c r="B159" s="522" t="s">
        <v>992</v>
      </c>
      <c r="C159" s="522">
        <v>2600</v>
      </c>
      <c r="D159" s="522">
        <v>6200</v>
      </c>
      <c r="E159" s="523">
        <f>SUMIFS('Accounting data'!$G$2:$G$37002,'Accounting data'!$H$2:$H$37002,"9999*",'Accounting data'!$I$2:$I$37002,"7*",'Accounting data'!$J$2:$J$37002,"26*",'Accounting data'!$K$2:$K$37002,"62*")+SUMIFS('Accounting data'!$G$2:$G$37002,'Accounting data'!$H$2:$H$37002,"9999*",'Accounting data'!$I$2:$I$37002,"8*",'Accounting data'!$J$2:$J$37002,"26*",'Accounting data'!$K$2:$K$37002,"62*")+SUMIFS('Accounting data'!$G$2:$G$37002,'Accounting data'!$H$2:$H$37002,"9999*",'Accounting data'!$I$2:$I$37002,"9*",'Accounting data'!$J$2:$J$37002,"26*",'Accounting data'!$K$2:$K$37002,"62*")</f>
        <v>0</v>
      </c>
    </row>
    <row r="162" spans="1:5" ht="15" x14ac:dyDescent="0.25">
      <c r="A162" s="525" t="s">
        <v>1015</v>
      </c>
      <c r="B162" s="525"/>
      <c r="C162" s="525"/>
      <c r="D162" s="525"/>
      <c r="E162" s="526">
        <f>(E156-E157-E158)+(E159+E160+E161)</f>
        <v>68034</v>
      </c>
    </row>
    <row r="163" spans="1:5" x14ac:dyDescent="0.2">
      <c r="A163" s="522" t="s">
        <v>990</v>
      </c>
      <c r="B163" s="522" t="s">
        <v>990</v>
      </c>
      <c r="C163" s="522">
        <v>2700</v>
      </c>
      <c r="D163" s="522">
        <v>6200</v>
      </c>
      <c r="E163" s="523">
        <f>SUMIFS('Accounting data'!$G$2:$G$37002,'Accounting data'!$J$2:$J$37002,"27*",'Accounting data'!$K$2:$K$37002,"62*")</f>
        <v>0</v>
      </c>
    </row>
    <row r="164" spans="1:5" x14ac:dyDescent="0.2">
      <c r="A164" s="522" t="s">
        <v>991</v>
      </c>
      <c r="B164" s="522" t="s">
        <v>990</v>
      </c>
      <c r="C164" s="522">
        <v>2700</v>
      </c>
      <c r="D164" s="522">
        <v>6200</v>
      </c>
      <c r="E164" s="523">
        <f>SUMIFS('Accounting data'!$G$2:$G$37002,'Accounting data'!$H$2:$H$37002,"9999*",'Accounting data'!$J$2:$J$37002,"27*",'Accounting data'!$K$2:$K$37002,"62*")</f>
        <v>0</v>
      </c>
    </row>
    <row r="165" spans="1:5" x14ac:dyDescent="0.2">
      <c r="A165" s="522" t="s">
        <v>990</v>
      </c>
      <c r="B165" s="522" t="s">
        <v>992</v>
      </c>
      <c r="C165" s="522">
        <v>2700</v>
      </c>
      <c r="D165" s="522">
        <v>6200</v>
      </c>
      <c r="E165" s="523">
        <f>SUMIFS('Accounting data'!$G$2:$G$37002,'Accounting data'!$I$2:$I$37002,"7*",'Accounting data'!$J$2:$J$37002,"27*",'Accounting data'!$K$2:$K$37002,"62*")+SUMIFS('Accounting data'!$G$2:$G$37002,'Accounting data'!$I$2:$I$37002,"8*",'Accounting data'!$J$2:$J$37002,"27*",'Accounting data'!$K$2:$K$37002,"62*")+SUMIFS('Accounting data'!$G$2:$G$37002,'Accounting data'!$I$2:$I$37002,"9*",'Accounting data'!$J$2:$J$37002,"27*",'Accounting data'!$K$2:$K$37002,"62*")</f>
        <v>0</v>
      </c>
    </row>
    <row r="166" spans="1:5" x14ac:dyDescent="0.2">
      <c r="A166" s="524" t="s">
        <v>991</v>
      </c>
      <c r="B166" s="522" t="s">
        <v>992</v>
      </c>
      <c r="C166" s="522">
        <v>2700</v>
      </c>
      <c r="D166" s="522">
        <v>6200</v>
      </c>
      <c r="E166" s="523">
        <f>SUMIFS('Accounting data'!$G$2:$G$37002,'Accounting data'!$H$2:$H$37002,"9999*",'Accounting data'!$I$2:$I$37002,"7*",'Accounting data'!$J$2:$J$37002,"27*",'Accounting data'!$K$2:$K$37002,"62*")+SUMIFS('Accounting data'!$G$2:$G$37002,'Accounting data'!$H$2:$H$37002,"9999*",'Accounting data'!$I$2:$I$37002,"8*",'Accounting data'!$J$2:$J$37002,"27*",'Accounting data'!$K$2:$K$37002,"62*")+SUMIFS('Accounting data'!$G$2:$G$37002,'Accounting data'!$H$2:$H$37002,"9999*",'Accounting data'!$I$2:$I$37002,"9*",'Accounting data'!$J$2:$J$37002,"27*",'Accounting data'!$K$2:$K$37002,"62*")</f>
        <v>0</v>
      </c>
    </row>
    <row r="167" spans="1:5" x14ac:dyDescent="0.2">
      <c r="A167" s="522"/>
      <c r="B167" s="522"/>
      <c r="C167" s="522"/>
      <c r="D167" s="522"/>
      <c r="E167" s="523"/>
    </row>
    <row r="168" spans="1:5" x14ac:dyDescent="0.2">
      <c r="A168" s="522"/>
      <c r="B168" s="522"/>
      <c r="C168" s="522"/>
      <c r="D168" s="522"/>
      <c r="E168" s="523"/>
    </row>
    <row r="169" spans="1:5" ht="15" x14ac:dyDescent="0.25">
      <c r="A169" s="525" t="s">
        <v>1016</v>
      </c>
      <c r="B169" s="525"/>
      <c r="C169" s="525"/>
      <c r="D169" s="525"/>
      <c r="E169" s="526">
        <f>(E163-E164-E165)+(E166+E167+E168)</f>
        <v>0</v>
      </c>
    </row>
    <row r="170" spans="1:5" x14ac:dyDescent="0.2">
      <c r="A170" s="522" t="s">
        <v>990</v>
      </c>
      <c r="B170" s="522" t="s">
        <v>990</v>
      </c>
      <c r="C170" s="522">
        <v>3100</v>
      </c>
      <c r="D170" s="522">
        <v>6200</v>
      </c>
      <c r="E170" s="523">
        <f>SUMIFS('Accounting data'!$G$2:$G$37002,'Accounting data'!$J$2:$J$37002,"31*",'Accounting data'!$K$2:$K$37002,"62*")</f>
        <v>0</v>
      </c>
    </row>
    <row r="171" spans="1:5" x14ac:dyDescent="0.2">
      <c r="A171" s="522" t="s">
        <v>991</v>
      </c>
      <c r="B171" s="522" t="s">
        <v>990</v>
      </c>
      <c r="C171" s="522">
        <v>3100</v>
      </c>
      <c r="D171" s="522">
        <v>6200</v>
      </c>
      <c r="E171" s="523">
        <f>SUMIFS('Accounting data'!$G$2:$G$37002,'Accounting data'!$H$2:$H$37002,"9999*",'Accounting data'!$J$2:$J$37002,"31*",'Accounting data'!$K$2:$K$37002,"62*")</f>
        <v>0</v>
      </c>
    </row>
    <row r="172" spans="1:5" x14ac:dyDescent="0.2">
      <c r="A172" s="522" t="s">
        <v>990</v>
      </c>
      <c r="B172" s="522" t="s">
        <v>992</v>
      </c>
      <c r="C172" s="522">
        <v>3100</v>
      </c>
      <c r="D172" s="522">
        <v>6200</v>
      </c>
      <c r="E172" s="523">
        <f>SUMIFS('Accounting data'!$G$2:$G$37002,'Accounting data'!$I$2:$I$37002,"7*",'Accounting data'!$J$2:$J$37002,"31*",'Accounting data'!$K$2:$K$37002,"62*")+SUMIFS('Accounting data'!$G$2:$G$37002,'Accounting data'!$I$2:$I$37002,"8*",'Accounting data'!$J$2:$J$37002,"31*",'Accounting data'!$K$2:$K$37002,"62*")+SUMIFS('Accounting data'!$G$2:$G$37002,'Accounting data'!$I$2:$I$37002,"9*",'Accounting data'!$J$2:$J$37002,"31*",'Accounting data'!$K$2:$K$37002,"62*")</f>
        <v>0</v>
      </c>
    </row>
    <row r="173" spans="1:5" x14ac:dyDescent="0.2">
      <c r="A173" s="524" t="s">
        <v>991</v>
      </c>
      <c r="B173" s="522" t="s">
        <v>992</v>
      </c>
      <c r="C173" s="522">
        <v>3100</v>
      </c>
      <c r="D173" s="522">
        <v>6200</v>
      </c>
      <c r="E173" s="523">
        <f>SUMIFS('Accounting data'!$G$2:$G$37002,'Accounting data'!$H$2:$H$37002,"9999*",'Accounting data'!$I$2:$I$37002,"7*",'Accounting data'!$J$2:$J$37002,"31*",'Accounting data'!$K$2:$K$37002,"62*")+SUMIFS('Accounting data'!$G$2:$G$37002,'Accounting data'!$H$2:$H$37002,"9999*",'Accounting data'!$I$2:$I$37002,"8*",'Accounting data'!$J$2:$J$37002,"31*",'Accounting data'!$K$2:$K$37002,"62*")+SUMIFS('Accounting data'!$G$2:$G$37002,'Accounting data'!$H$2:$H$37002,"9999*",'Accounting data'!$I$2:$I$37002,"9*",'Accounting data'!$J$2:$J$37002,"31*",'Accounting data'!$K$2:$K$37002,"62*")</f>
        <v>0</v>
      </c>
    </row>
    <row r="174" spans="1:5" x14ac:dyDescent="0.2">
      <c r="A174" s="522"/>
      <c r="B174" s="522"/>
      <c r="C174" s="522"/>
      <c r="D174" s="522"/>
      <c r="E174" s="523"/>
    </row>
    <row r="175" spans="1:5" x14ac:dyDescent="0.2">
      <c r="A175" s="522"/>
      <c r="B175" s="522"/>
      <c r="C175" s="522"/>
      <c r="D175" s="522"/>
      <c r="E175" s="523"/>
    </row>
    <row r="176" spans="1:5" ht="15" x14ac:dyDescent="0.25">
      <c r="A176" s="525" t="s">
        <v>1017</v>
      </c>
      <c r="B176" s="525"/>
      <c r="C176" s="525"/>
      <c r="D176" s="525"/>
      <c r="E176" s="526">
        <f>(E170-E171-E172)+(E173+E174+E175)</f>
        <v>0</v>
      </c>
    </row>
    <row r="184" spans="1:5" x14ac:dyDescent="0.2">
      <c r="A184" s="522" t="s">
        <v>990</v>
      </c>
      <c r="B184" s="522" t="s">
        <v>990</v>
      </c>
      <c r="C184" s="522">
        <v>3400</v>
      </c>
      <c r="D184" s="522">
        <v>6200</v>
      </c>
      <c r="E184" s="523">
        <f>SUMIFS('Accounting data'!$G$2:$G$37002,'Accounting data'!$J$2:$J$37002,"34*",'Accounting data'!$K$2:$K$37002,"62*")</f>
        <v>0</v>
      </c>
    </row>
    <row r="185" spans="1:5" x14ac:dyDescent="0.2">
      <c r="A185" s="522" t="s">
        <v>991</v>
      </c>
      <c r="B185" s="522" t="s">
        <v>990</v>
      </c>
      <c r="C185" s="522">
        <v>3400</v>
      </c>
      <c r="D185" s="522">
        <v>6200</v>
      </c>
      <c r="E185" s="523">
        <f>SUMIFS('Accounting data'!$G$2:$G$37002,'Accounting data'!$H$2:$H$37002,"9999*",'Accounting data'!$J$2:$J$37002,"34*",'Accounting data'!$K$2:$K$37002,"62*")</f>
        <v>0</v>
      </c>
    </row>
    <row r="186" spans="1:5" x14ac:dyDescent="0.2">
      <c r="A186" s="522" t="s">
        <v>990</v>
      </c>
      <c r="B186" s="522" t="s">
        <v>992</v>
      </c>
      <c r="C186" s="522">
        <v>3400</v>
      </c>
      <c r="D186" s="522">
        <v>6200</v>
      </c>
      <c r="E186" s="523">
        <f>SUMIFS('Accounting data'!$G$2:$G$37002,'Accounting data'!$I$2:$I$37002,"7*",'Accounting data'!$J$2:$J$37002,"34*",'Accounting data'!$K$2:$K$37002,"62*")+SUMIFS('Accounting data'!$G$2:$G$37002,'Accounting data'!$I$2:$I$37002,"8*",'Accounting data'!$J$2:$J$37002,"34*",'Accounting data'!$K$2:$K$37002,"62*")+SUMIFS('Accounting data'!$G$2:$G$37002,'Accounting data'!$I$2:$I$37002,"9*",'Accounting data'!$J$2:$J$37002,"34*",'Accounting data'!$K$2:$K$37002,"62*")</f>
        <v>0</v>
      </c>
    </row>
    <row r="187" spans="1:5" x14ac:dyDescent="0.2">
      <c r="A187" s="524" t="s">
        <v>991</v>
      </c>
      <c r="B187" s="522" t="s">
        <v>992</v>
      </c>
      <c r="C187" s="522">
        <v>3400</v>
      </c>
      <c r="D187" s="522">
        <v>6200</v>
      </c>
      <c r="E187" s="523">
        <f>SUMIFS('Accounting data'!$G$2:$G$37002,'Accounting data'!$H$2:$H$37002,"9999*",'Accounting data'!$I$2:$I$37002,"7*",'Accounting data'!$J$2:$J$37002,"34*",'Accounting data'!$K$2:$K$37002,"62*")+SUMIFS('Accounting data'!$G$2:$G$37002,'Accounting data'!$H$2:$H$37002,"9999*",'Accounting data'!$I$2:$I$37002,"8*",'Accounting data'!$J$2:$J$37002,"34*",'Accounting data'!$K$2:$K$37002,"62*")+SUMIFS('Accounting data'!$G$2:$G$37002,'Accounting data'!$H$2:$H$37002,"9999*",'Accounting data'!$I$2:$I$37002,"9*",'Accounting data'!$J$2:$J$37002,"34*",'Accounting data'!$K$2:$K$37002,"62*")</f>
        <v>0</v>
      </c>
    </row>
    <row r="188" spans="1:5" x14ac:dyDescent="0.2">
      <c r="A188" s="522"/>
      <c r="B188" s="522"/>
      <c r="C188" s="522"/>
      <c r="D188" s="522"/>
      <c r="E188" s="523"/>
    </row>
    <row r="189" spans="1:5" x14ac:dyDescent="0.2">
      <c r="A189" s="522"/>
      <c r="B189" s="522"/>
      <c r="C189" s="522"/>
      <c r="D189" s="522"/>
      <c r="E189" s="523"/>
    </row>
    <row r="190" spans="1:5" ht="15" x14ac:dyDescent="0.25">
      <c r="A190" s="525" t="s">
        <v>1018</v>
      </c>
      <c r="B190" s="525"/>
      <c r="C190" s="525"/>
      <c r="D190" s="525"/>
      <c r="E190" s="526">
        <f>(E184-E185-E186)+(E187+E188+E189)</f>
        <v>0</v>
      </c>
    </row>
    <row r="191" spans="1:5" x14ac:dyDescent="0.2">
      <c r="A191" s="522" t="s">
        <v>990</v>
      </c>
      <c r="B191" s="522" t="s">
        <v>990</v>
      </c>
      <c r="C191" s="522">
        <v>4000</v>
      </c>
      <c r="D191" s="522">
        <v>6200</v>
      </c>
      <c r="E191" s="523">
        <f>SUMIFS('Accounting data'!$G$2:$G$37002,'Accounting data'!$J$2:$J$37002,"4*",'Accounting data'!$K$2:$K$37002,"62*")</f>
        <v>0</v>
      </c>
    </row>
    <row r="192" spans="1:5" x14ac:dyDescent="0.2">
      <c r="A192" s="522" t="s">
        <v>991</v>
      </c>
      <c r="B192" s="522" t="s">
        <v>990</v>
      </c>
      <c r="C192" s="522">
        <v>4000</v>
      </c>
      <c r="D192" s="522">
        <v>6200</v>
      </c>
      <c r="E192" s="523">
        <f>SUMIFS('Accounting data'!$G$2:$G$37002,'Accounting data'!$H$2:$H$37002,"9999*",'Accounting data'!$J$2:$J$37002,"4*",'Accounting data'!$K$2:$K$37002,"62*")</f>
        <v>0</v>
      </c>
    </row>
    <row r="193" spans="1:5" x14ac:dyDescent="0.2">
      <c r="A193" s="522" t="s">
        <v>990</v>
      </c>
      <c r="B193" s="522" t="s">
        <v>992</v>
      </c>
      <c r="C193" s="522">
        <v>4000</v>
      </c>
      <c r="D193" s="522">
        <v>6200</v>
      </c>
      <c r="E193" s="523">
        <f>SUMIFS('Accounting data'!$G$2:$G$37002,'Accounting data'!$I$2:$I$37002,"7*",'Accounting data'!$J$2:$J$37002,"4*",'Accounting data'!$K$2:$K$37002,"62*")+SUMIFS('Accounting data'!$G$2:$G$37002,'Accounting data'!$I$2:$I$37002,"8*",'Accounting data'!$J$2:$J$37002,"4*",'Accounting data'!$K$2:$K$37002,"62*")+SUMIFS('Accounting data'!$G$2:$G$37002,'Accounting data'!$I$2:$I$37002,"9*",'Accounting data'!$J$2:$J$37002,"4*",'Accounting data'!$K$2:$K$37002,"62*")</f>
        <v>0</v>
      </c>
    </row>
    <row r="194" spans="1:5" x14ac:dyDescent="0.2">
      <c r="A194" s="524" t="s">
        <v>991</v>
      </c>
      <c r="B194" s="522" t="s">
        <v>992</v>
      </c>
      <c r="C194" s="522">
        <v>4000</v>
      </c>
      <c r="D194" s="522">
        <v>6200</v>
      </c>
      <c r="E194" s="523">
        <f>SUMIFS('Accounting data'!$G$2:$G$37002,'Accounting data'!$H$2:$H$37002,"9999*",'Accounting data'!$I$2:$I$37002,"7*",'Accounting data'!$J$2:$J$37002,"4*",'Accounting data'!$K$2:$K$37002,"62*")+SUMIFS('Accounting data'!$G$2:$G$37002,'Accounting data'!$H$2:$H$37002,"9999*",'Accounting data'!$I$2:$I$37002,"8*",'Accounting data'!$J$2:$J$37002,"4*",'Accounting data'!$K$2:$K$37002,"62*")+SUMIFS('Accounting data'!$G$2:$G$37002,'Accounting data'!$H$2:$H$37002,"9999*",'Accounting data'!$I$2:$I$37002,"9*",'Accounting data'!$J$2:$J$37002,"4*",'Accounting data'!$K$2:$K$37002,"62*")</f>
        <v>0</v>
      </c>
    </row>
    <row r="195" spans="1:5" x14ac:dyDescent="0.2">
      <c r="A195" s="522"/>
      <c r="B195" s="522"/>
      <c r="C195" s="522"/>
      <c r="D195" s="522"/>
      <c r="E195" s="523"/>
    </row>
    <row r="196" spans="1:5" x14ac:dyDescent="0.2">
      <c r="A196" s="522"/>
      <c r="B196" s="522"/>
      <c r="C196" s="522"/>
      <c r="D196" s="522"/>
      <c r="E196" s="523"/>
    </row>
    <row r="197" spans="1:5" ht="15" x14ac:dyDescent="0.25">
      <c r="A197" s="525" t="s">
        <v>1019</v>
      </c>
      <c r="B197" s="525"/>
      <c r="C197" s="525"/>
      <c r="D197" s="525"/>
      <c r="E197" s="526">
        <f>(E191-E192-E193)+(E194+E195+E196)</f>
        <v>0</v>
      </c>
    </row>
    <row r="198" spans="1:5" ht="15" x14ac:dyDescent="0.25">
      <c r="A198" s="528" t="s">
        <v>1020</v>
      </c>
      <c r="B198" s="528"/>
      <c r="C198" s="528"/>
      <c r="D198" s="528"/>
      <c r="E198" s="529">
        <f>E113+E120+E127+E134+E141+E148+E155+E162+E169+E176+E183+E190</f>
        <v>4118972</v>
      </c>
    </row>
    <row r="199" spans="1:5" ht="15" x14ac:dyDescent="0.25">
      <c r="A199" s="522" t="s">
        <v>1006</v>
      </c>
      <c r="B199" s="522" t="s">
        <v>990</v>
      </c>
      <c r="C199" s="522">
        <v>1000</v>
      </c>
      <c r="D199" s="522">
        <v>6200</v>
      </c>
      <c r="E199" s="530">
        <f>SUMIFS('Accounting data'!$G$2:$G$37002,'Accounting data'!$H$2:$H$37002,"11*",'Accounting data'!$J$2:$J$37002,"1*",'Accounting data'!$K$2:$K$37002,"62*")+SUMIFS('Accounting data'!$G$2:$G$37002,'Accounting data'!$H$2:$H$37002,"12*",'Accounting data'!$J$2:$J$37002,"1*",'Accounting data'!$K$2:$K$37002,"62*")+SUMIFS('Accounting data'!$G$2:$G$37002,'Accounting data'!$H$2:$H$37002,"13*",'Accounting data'!$J$2:$J$37002,"1*",'Accounting data'!$K$2:$K$37002,"62*")</f>
        <v>0</v>
      </c>
    </row>
    <row r="200" spans="1:5" ht="15" x14ac:dyDescent="0.25">
      <c r="A200" s="522" t="s">
        <v>1006</v>
      </c>
      <c r="B200" s="522" t="s">
        <v>990</v>
      </c>
      <c r="C200" s="522">
        <v>2000</v>
      </c>
      <c r="D200" s="522">
        <v>6200</v>
      </c>
      <c r="E200" s="530">
        <f>SUMIFS('Accounting data'!$G$2:$G$37002,'Accounting data'!$H$2:$H$37002,"11*",'Accounting data'!$J$2:$J$37002,"2*",'Accounting data'!$K$2:$K$37002,"62*")+SUMIFS('Accounting data'!$G$2:$G$37002,'Accounting data'!$H$2:$H$37002,"12*",'Accounting data'!$J$2:$J$37002,"2*",'Accounting data'!$K$2:$K$37002,"62*")+SUMIFS('Accounting data'!$G$2:$G$37002,'Accounting data'!$H$2:$H$37002,"13*",'Accounting data'!$J$2:$J$37002,"2*",'Accounting data'!$K$2:$K$37002,"62*")</f>
        <v>0</v>
      </c>
    </row>
    <row r="201" spans="1:5" ht="15" x14ac:dyDescent="0.25">
      <c r="A201" s="522" t="s">
        <v>1006</v>
      </c>
      <c r="B201" s="522" t="s">
        <v>990</v>
      </c>
      <c r="C201" s="522">
        <v>3000</v>
      </c>
      <c r="D201" s="522">
        <v>6200</v>
      </c>
      <c r="E201" s="530">
        <f>SUMIFS('Accounting data'!$G$2:$G$37002,'Accounting data'!$H$2:$H$37002,"11*",'Accounting data'!$J$2:$J$37002,"3*",'Accounting data'!$K$2:$K$37002,"62*")+SUMIFS('Accounting data'!$G$2:$G$37002,'Accounting data'!$H$2:$H$37002,"12*",'Accounting data'!$J$2:$J$37002,"3*",'Accounting data'!$K$2:$K$37002,"62*")+SUMIFS('Accounting data'!$G$2:$G$37002,'Accounting data'!$H$2:$H$37002,"13*",'Accounting data'!$J$2:$J$37002,"3*",'Accounting data'!$K$2:$K$37002,"62*")</f>
        <v>0</v>
      </c>
    </row>
    <row r="202" spans="1:5" ht="15" x14ac:dyDescent="0.25">
      <c r="A202" s="522" t="s">
        <v>1006</v>
      </c>
      <c r="B202" s="524">
        <v>700</v>
      </c>
      <c r="C202" s="522">
        <v>1000</v>
      </c>
      <c r="D202" s="522">
        <v>6200</v>
      </c>
      <c r="E202" s="530">
        <f>SUMIFS('Accounting data'!$G$2:$G$37002,'Accounting data'!$H$2:$H$37002,"11*",'Accounting data'!$I$2:$I$37002,"7*",'Accounting data'!$J$2:$J$37002,"1*",'Accounting data'!$K$2:$K$37002,"62*")+SUMIFS('Accounting data'!$G$2:$G$37002,'Accounting data'!$H$2:$H$37002,"12*",'Accounting data'!$I$2:$I$37002,"7*",'Accounting data'!$J$2:$J$37002,"1*",'Accounting data'!$K$2:$K$37002,"62*")+SUMIFS('Accounting data'!$G$2:$G$37002,'Accounting data'!$H$2:$H$37002,"13*",'Accounting data'!$I$2:$I$37002,"7*",'Accounting data'!$J$2:$J$37002,"1*",'Accounting data'!$K$2:$K$37002,"62*")</f>
        <v>0</v>
      </c>
    </row>
    <row r="203" spans="1:5" ht="15" x14ac:dyDescent="0.25">
      <c r="A203" s="522" t="s">
        <v>1006</v>
      </c>
      <c r="B203" s="524">
        <v>800</v>
      </c>
      <c r="C203" s="522">
        <v>1000</v>
      </c>
      <c r="D203" s="522">
        <v>6200</v>
      </c>
      <c r="E203" s="530">
        <f>SUMIFS('Accounting data'!$G$2:$G$37002,'Accounting data'!$H$2:$H$37002,"11*",'Accounting data'!$I$2:$I$37002,"8*",'Accounting data'!$J$2:$J$37002,"1*",'Accounting data'!$K$2:$K$37002,"62*")+SUMIFS('Accounting data'!$G$2:$G$37002,'Accounting data'!$H$2:$H$37002,"12*",'Accounting data'!$I$2:$I$37002,"8*",'Accounting data'!$J$2:$J$37002,"1*",'Accounting data'!$K$2:$K$37002,"62*")+SUMIFS('Accounting data'!$G$2:$G$37002,'Accounting data'!$H$2:$H$37002,"13*",'Accounting data'!$I$2:$I$37002,"8*",'Accounting data'!$J$2:$J$37002,"1*",'Accounting data'!$K$2:$K$37002,"62*")</f>
        <v>0</v>
      </c>
    </row>
    <row r="204" spans="1:5" ht="15" x14ac:dyDescent="0.25">
      <c r="A204" s="522" t="s">
        <v>1006</v>
      </c>
      <c r="B204" s="524">
        <v>900</v>
      </c>
      <c r="C204" s="522">
        <v>1000</v>
      </c>
      <c r="D204" s="522">
        <v>6200</v>
      </c>
      <c r="E204" s="530">
        <f>SUMIFS('Accounting data'!$G$2:$G$37002,'Accounting data'!$H$2:$H$37002,"11*",'Accounting data'!$I$2:$I$37002,"9*",'Accounting data'!$J$2:$J$37002,"1*",'Accounting data'!$K$2:$K$37002,"62*")+SUMIFS('Accounting data'!$G$2:$G$37002,'Accounting data'!$H$2:$H$37002,"12*",'Accounting data'!$I$2:$I$37002,"9*",'Accounting data'!$J$2:$J$37002,"1*",'Accounting data'!$K$2:$K$37002,"62*")+SUMIFS('Accounting data'!$G$2:$G$37002,'Accounting data'!$H$2:$H$37002,"13*",'Accounting data'!$I$2:$I$37002,"9*",'Accounting data'!$J$2:$J$37002,"1*",'Accounting data'!$K$2:$K$37002,"62*")</f>
        <v>0</v>
      </c>
    </row>
    <row r="205" spans="1:5" ht="15" x14ac:dyDescent="0.25">
      <c r="A205" s="522" t="s">
        <v>1006</v>
      </c>
      <c r="B205" s="524">
        <v>700</v>
      </c>
      <c r="C205" s="522">
        <v>2000</v>
      </c>
      <c r="D205" s="522">
        <v>6200</v>
      </c>
      <c r="E205" s="530">
        <f>SUMIFS('Accounting data'!$G$2:$G$37002,'Accounting data'!$H$2:$H$37002,"11*",'Accounting data'!$I$2:$I$37002,"7*",'Accounting data'!$J$2:$J$37002,"2*",'Accounting data'!$K$2:$K$37002,"62*")+SUMIFS('Accounting data'!$G$2:$G$37002,'Accounting data'!$H$2:$H$37002,"12*",'Accounting data'!$I$2:$I$37002,"7*",'Accounting data'!$J$2:$J$37002,"2*",'Accounting data'!$K$2:$K$37002,"62*")+SUMIFS('Accounting data'!$G$2:$G$37002,'Accounting data'!$H$2:$H$37002,"13*",'Accounting data'!$I$2:$I$37002,"7*",'Accounting data'!$J$2:$J$37002,"2*",'Accounting data'!$K$2:$K$37002,"62*")</f>
        <v>0</v>
      </c>
    </row>
    <row r="206" spans="1:5" ht="15" x14ac:dyDescent="0.25">
      <c r="A206" s="522" t="s">
        <v>1006</v>
      </c>
      <c r="B206" s="524">
        <v>800</v>
      </c>
      <c r="C206" s="522">
        <v>2000</v>
      </c>
      <c r="D206" s="522">
        <v>6200</v>
      </c>
      <c r="E206" s="530">
        <f>SUMIFS('Accounting data'!$G$2:$G$37002,'Accounting data'!$H$2:$H$37002,"11*",'Accounting data'!$I$2:$I$37002,"8*",'Accounting data'!$J$2:$J$37002,"2*",'Accounting data'!$K$2:$K$37002,"62*")+SUMIFS('Accounting data'!$G$2:$G$37002,'Accounting data'!$H$2:$H$37002,"12*",'Accounting data'!$I$2:$I$37002,"8*",'Accounting data'!$J$2:$J$37002,"2*",'Accounting data'!$K$2:$K$37002,"62*")+SUMIFS('Accounting data'!$G$2:$G$37002,'Accounting data'!$H$2:$H$37002,"13*",'Accounting data'!$I$2:$I$37002,"8*",'Accounting data'!$J$2:$J$37002,"2*",'Accounting data'!$K$2:$K$37002,"62*")</f>
        <v>0</v>
      </c>
    </row>
    <row r="207" spans="1:5" ht="15" x14ac:dyDescent="0.25">
      <c r="A207" s="522" t="s">
        <v>1006</v>
      </c>
      <c r="B207" s="524">
        <v>900</v>
      </c>
      <c r="C207" s="522">
        <v>2000</v>
      </c>
      <c r="D207" s="522">
        <v>6200</v>
      </c>
      <c r="E207" s="530">
        <f>SUMIFS('Accounting data'!$G$2:$G$37002,'Accounting data'!$H$2:$H$37002,"11*",'Accounting data'!$I$2:$I$37002,"9*",'Accounting data'!$J$2:$J$37002,"2*",'Accounting data'!$K$2:$K$37002,"62*")+SUMIFS('Accounting data'!$G$2:$G$37002,'Accounting data'!$H$2:$H$37002,"12*",'Accounting data'!$I$2:$I$37002,"9*",'Accounting data'!$J$2:$J$37002,"2*",'Accounting data'!$K$2:$K$37002,"62*")+SUMIFS('Accounting data'!$G$2:$G$37002,'Accounting data'!$H$2:$H$37002,"13*",'Accounting data'!$I$2:$I$37002,"9*",'Accounting data'!$J$2:$J$37002,"2*",'Accounting data'!$K$2:$K$37002,"62*")</f>
        <v>0</v>
      </c>
    </row>
    <row r="208" spans="1:5" ht="15" x14ac:dyDescent="0.25">
      <c r="A208" s="522" t="s">
        <v>1006</v>
      </c>
      <c r="B208" s="524">
        <v>700</v>
      </c>
      <c r="C208" s="522">
        <v>3000</v>
      </c>
      <c r="D208" s="522">
        <v>6200</v>
      </c>
      <c r="E208" s="530">
        <f>SUMIFS('Accounting data'!$G$2:$G$37002,'Accounting data'!$H$2:$H$37002,"11*",'Accounting data'!$I$2:$I$37002,"7*",'Accounting data'!$J$2:$J$37002,"3*",'Accounting data'!$K$2:$K$37002,"62*")+SUMIFS('Accounting data'!$G$2:$G$37002,'Accounting data'!$H$2:$H$37002,"12*",'Accounting data'!$I$2:$I$37002,"7*",'Accounting data'!$J$2:$J$37002,"3*",'Accounting data'!$K$2:$K$37002,"62*")+SUMIFS('Accounting data'!$G$2:$G$37002,'Accounting data'!$H$2:$H$37002,"13*",'Accounting data'!$I$2:$I$37002,"7*",'Accounting data'!$J$2:$J$37002,"3*",'Accounting data'!$K$2:$K$37002,"62*")</f>
        <v>0</v>
      </c>
    </row>
    <row r="209" spans="1:5" ht="15" x14ac:dyDescent="0.25">
      <c r="A209" s="522" t="s">
        <v>1006</v>
      </c>
      <c r="B209" s="524">
        <v>800</v>
      </c>
      <c r="C209" s="522">
        <v>3000</v>
      </c>
      <c r="D209" s="522">
        <v>6200</v>
      </c>
      <c r="E209" s="530">
        <f>SUMIFS('Accounting data'!$G$2:$G$37002,'Accounting data'!$H$2:$H$37002,"11*",'Accounting data'!$I$2:$I$37002,"8*",'Accounting data'!$J$2:$J$37002,"3*",'Accounting data'!$K$2:$K$37002,"62*")+SUMIFS('Accounting data'!$G$2:$G$37002,'Accounting data'!$H$2:$H$37002,"12*",'Accounting data'!$I$2:$I$37002,"8*",'Accounting data'!$J$2:$J$37002,"3*",'Accounting data'!$K$2:$K$37002,"62*")+SUMIFS('Accounting data'!$G$2:$G$37002,'Accounting data'!$H$2:$H$37002,"13*",'Accounting data'!$I$2:$I$37002,"8*",'Accounting data'!$J$2:$J$37002,"3*",'Accounting data'!$K$2:$K$37002,"62*")</f>
        <v>0</v>
      </c>
    </row>
    <row r="210" spans="1:5" ht="15" x14ac:dyDescent="0.25">
      <c r="A210" s="522" t="s">
        <v>1006</v>
      </c>
      <c r="B210" s="524">
        <v>900</v>
      </c>
      <c r="C210" s="522">
        <v>3000</v>
      </c>
      <c r="D210" s="522">
        <v>6200</v>
      </c>
      <c r="E210" s="530">
        <f>SUMIFS('Accounting data'!$G$2:$G$37002,'Accounting data'!$H$2:$H$37002,"11*",'Accounting data'!$I$2:$I$37002,"9*",'Accounting data'!$J$2:$J$37002,"3*",'Accounting data'!$K$2:$K$37002,"62*")+SUMIFS('Accounting data'!$G$2:$G$37002,'Accounting data'!$H$2:$H$37002,"12*",'Accounting data'!$I$2:$I$37002,"9*",'Accounting data'!$J$2:$J$37002,"3*",'Accounting data'!$K$2:$K$37002,"62*")+SUMIFS('Accounting data'!$G$2:$G$37002,'Accounting data'!$H$2:$H$37002,"13*",'Accounting data'!$I$2:$I$37002,"9*",'Accounting data'!$J$2:$J$37002,"3*",'Accounting data'!$K$2:$K$37002,"62*")</f>
        <v>0</v>
      </c>
    </row>
    <row r="211" spans="1:5" ht="15" x14ac:dyDescent="0.25">
      <c r="A211" s="525" t="s">
        <v>1021</v>
      </c>
      <c r="B211" s="525"/>
      <c r="C211" s="525"/>
      <c r="D211" s="525"/>
      <c r="E211" s="526">
        <f>(E199+E200+E201)-(E202+E203+E204+E205+E206+E207+E208+E209+E210)</f>
        <v>0</v>
      </c>
    </row>
    <row r="212" spans="1:5" ht="15" x14ac:dyDescent="0.25">
      <c r="A212" s="522" t="s">
        <v>990</v>
      </c>
      <c r="B212" s="522" t="s">
        <v>990</v>
      </c>
      <c r="C212" s="522">
        <v>1000</v>
      </c>
      <c r="D212" s="531" t="s">
        <v>1022</v>
      </c>
      <c r="E212" s="530">
        <f>SUMIFS('Accounting data'!$G$2:$G$37002,'Accounting data'!$J$2:$J$37002,"1*",'Accounting data'!$K$2:$K$37002,"63*")+SUMIFS('Accounting data'!$G$2:$G$37002,'Accounting data'!$J$2:$J$37002,"1*",'Accounting data'!$K$2:$K$37002,"64*")+SUMIFS('Accounting data'!$G$2:$G$37002,'Accounting data'!$J$2:$J$37002,"1*",'Accounting data'!$K$2:$K$37002,"65*")</f>
        <v>259203</v>
      </c>
    </row>
    <row r="213" spans="1:5" ht="15" x14ac:dyDescent="0.25">
      <c r="A213" s="522" t="s">
        <v>991</v>
      </c>
      <c r="B213" s="522" t="s">
        <v>990</v>
      </c>
      <c r="C213" s="522">
        <v>1000</v>
      </c>
      <c r="D213" s="522">
        <v>6300</v>
      </c>
      <c r="E213" s="530">
        <f>SUMIFS('Accounting data'!$G$2:$G$37002,'Accounting data'!$H$2:$H$37002,"9999*",'Accounting data'!$J$2:$J$37002,"1*",'Accounting data'!$K$2:$K$37002,"63*")</f>
        <v>0</v>
      </c>
    </row>
    <row r="214" spans="1:5" ht="15" x14ac:dyDescent="0.25">
      <c r="A214" s="522" t="s">
        <v>991</v>
      </c>
      <c r="B214" s="522" t="s">
        <v>990</v>
      </c>
      <c r="C214" s="522">
        <v>1000</v>
      </c>
      <c r="D214" s="522">
        <v>6400</v>
      </c>
      <c r="E214" s="530">
        <f>SUMIFS('Accounting data'!$G$2:$G$37002,'Accounting data'!$H$2:$H$37002,"9999*",'Accounting data'!$J$2:$J$37002,"1*",'Accounting data'!$K$2:$K$37002,"64*")</f>
        <v>0</v>
      </c>
    </row>
    <row r="215" spans="1:5" ht="15" x14ac:dyDescent="0.25">
      <c r="A215" s="522" t="s">
        <v>991</v>
      </c>
      <c r="B215" s="522" t="s">
        <v>990</v>
      </c>
      <c r="C215" s="522">
        <v>1000</v>
      </c>
      <c r="D215" s="522">
        <v>6500</v>
      </c>
      <c r="E215" s="530">
        <f>SUMIFS('Accounting data'!$G$2:$G$37002,'Accounting data'!$H$2:$H$37002,"9999*",'Accounting data'!$J$2:$J$37002,"1*",'Accounting data'!$K$2:$K$37002,"65*")</f>
        <v>0</v>
      </c>
    </row>
    <row r="216" spans="1:5" ht="15" x14ac:dyDescent="0.25">
      <c r="A216" s="522" t="s">
        <v>990</v>
      </c>
      <c r="B216" s="522" t="s">
        <v>992</v>
      </c>
      <c r="C216" s="522">
        <v>1000</v>
      </c>
      <c r="D216" s="531" t="s">
        <v>1022</v>
      </c>
      <c r="E216" s="530">
        <f>SUMIFS('Accounting data'!$G$2:$G$37002,'Accounting data'!$I$2:$I$37002,"7*",'Accounting data'!$J$2:$J$37002,"1*",'Accounting data'!$K$2:$K$37002,"63*")+SUMIFS('Accounting data'!$G$2:$G$37002,'Accounting data'!$I$2:$I$37002,"8*",'Accounting data'!$J$2:$J$37002,"1*",'Accounting data'!$K$2:$K$37002,"63*")+SUMIFS('Accounting data'!$G$2:$G$37002,'Accounting data'!$I$2:$I$37002,"9*",'Accounting data'!$J$2:$J$37002,"1*",'Accounting data'!$K$2:$K$37002,"63*")+SUMIFS('Accounting data'!$G$2:$G$37002,'Accounting data'!$I$2:$I$37002,"7*",'Accounting data'!$J$2:$J$37002,"1*",'Accounting data'!$K$2:$K$37002,"64*")+SUMIFS('Accounting data'!$G$2:$G$37002,'Accounting data'!$I$2:$I$37002,"8*",'Accounting data'!$J$2:$J$37002,"1*",'Accounting data'!$K$2:$K$37002,"64*")+SUMIFS('Accounting data'!$G$2:$G$37002,'Accounting data'!$I$2:$I$37002,"9*",'Accounting data'!$J$2:$J$37002,"1*",'Accounting data'!$K$2:$K$37002,"64*")+SUMIFS('Accounting data'!$G$2:$G$37002,'Accounting data'!$I$2:$I$37002,"7*",'Accounting data'!$J$2:$J$37002,"1*",'Accounting data'!$K$2:$K$37002,"65*")+SUMIFS('Accounting data'!$G$2:$G$37002,'Accounting data'!$I$2:$I$37002,"8*",'Accounting data'!$J$2:$J$37002,"1*",'Accounting data'!$K$2:$K$37002,"65*")+SUMIFS('Accounting data'!$G$2:$G$37002,'Accounting data'!$I$2:$I$37002,"9*",'Accounting data'!$J$2:$J$37002,"1*",'Accounting data'!$K$2:$K$37002,"65*")</f>
        <v>0</v>
      </c>
    </row>
    <row r="217" spans="1:5" ht="15" x14ac:dyDescent="0.25">
      <c r="A217" s="524" t="s">
        <v>991</v>
      </c>
      <c r="B217" s="522" t="s">
        <v>992</v>
      </c>
      <c r="C217" s="522">
        <v>1000</v>
      </c>
      <c r="D217" s="522">
        <v>6300</v>
      </c>
      <c r="E217" s="530">
        <f>SUMIFS('Accounting data'!$G$2:$G$37002,'Accounting data'!$H$2:$H$37002,"9999*",'Accounting data'!$I$2:$I$37002,"7*",'Accounting data'!$J$2:$J$37002,"1*",'Accounting data'!$K$2:$K$37002,"63*")+SUMIFS('Accounting data'!$G$2:$G$37002,'Accounting data'!$H$2:$H$37002,"9999*",'Accounting data'!$I$2:$I$37002,"8*",'Accounting data'!$J$2:$J$37002,"1*",'Accounting data'!$K$2:$K$37002,"63*")+SUMIFS('Accounting data'!$G$2:$G$37002,'Accounting data'!$H$2:$H$37002,"9999*",'Accounting data'!$I$2:$I$37002,"9*",'Accounting data'!$J$2:$J$37002,"1*",'Accounting data'!$K$2:$K$37002,"63*")</f>
        <v>0</v>
      </c>
    </row>
    <row r="218" spans="1:5" ht="15" x14ac:dyDescent="0.25">
      <c r="A218" s="524" t="s">
        <v>991</v>
      </c>
      <c r="B218" s="522" t="s">
        <v>992</v>
      </c>
      <c r="C218" s="522">
        <v>1000</v>
      </c>
      <c r="D218" s="522">
        <v>6400</v>
      </c>
      <c r="E218" s="530">
        <f>SUMIFS('Accounting data'!$G$2:$G$37002,'Accounting data'!$H$2:$H$37002,"9999*",'Accounting data'!$I$2:$I$37002,"7*",'Accounting data'!$J$2:$J$37002,"1*",'Accounting data'!$K$2:$K$37002,"64*")+SUMIFS('Accounting data'!$G$2:$G$37002,'Accounting data'!$H$2:$H$37002,"9999*",'Accounting data'!$I$2:$I$37002,"8*",'Accounting data'!$J$2:$J$37002,"1*",'Accounting data'!$K$2:$K$37002,"64*")+SUMIFS('Accounting data'!$G$2:$G$37002,'Accounting data'!$H$2:$H$37002,"9999*",'Accounting data'!$I$2:$I$37002,"9*",'Accounting data'!$J$2:$J$37002,"1*",'Accounting data'!$K$2:$K$37002,"64*")</f>
        <v>0</v>
      </c>
    </row>
    <row r="219" spans="1:5" ht="15" x14ac:dyDescent="0.25">
      <c r="A219" s="524" t="s">
        <v>991</v>
      </c>
      <c r="B219" s="522" t="s">
        <v>992</v>
      </c>
      <c r="C219" s="522">
        <v>1000</v>
      </c>
      <c r="D219" s="522">
        <v>6500</v>
      </c>
      <c r="E219" s="530">
        <f>SUMIFS('Accounting data'!$G$2:$G$37002,'Accounting data'!$H$2:$H$37002,"9999*",'Accounting data'!$I$2:$I$37002,"7*",'Accounting data'!$J$2:$J$37002,"1*",'Accounting data'!$K$2:$K$37002,"65*")+SUMIFS('Accounting data'!$G$2:$G$37002,'Accounting data'!$H$2:$H$37002,"9999*",'Accounting data'!$I$2:$I$37002,"8*",'Accounting data'!$J$2:$J$37002,"1*",'Accounting data'!$K$2:$K$37002,"65*")+SUMIFS('Accounting data'!$G$2:$G$37002,'Accounting data'!$H$2:$H$37002,"9999*",'Accounting data'!$I$2:$I$37002,"9*",'Accounting data'!$J$2:$J$37002,"1*",'Accounting data'!$K$2:$K$37002,"65*")</f>
        <v>0</v>
      </c>
    </row>
    <row r="238" spans="1:5" ht="15" x14ac:dyDescent="0.25">
      <c r="A238" s="525" t="s">
        <v>1023</v>
      </c>
      <c r="B238" s="525"/>
      <c r="C238" s="525"/>
      <c r="D238" s="525"/>
      <c r="E238" s="526">
        <f>((E212-E213-E214-E215-E216)+(E217+E218+E219+E220+E221+E222+E223+E224+E225))-((E226-E227-E228)+(E229+E230+E231))-((E232-E233-E234)+(E235+E236+E237))</f>
        <v>259203</v>
      </c>
    </row>
    <row r="239" spans="1:5" x14ac:dyDescent="0.2">
      <c r="A239" s="522" t="s">
        <v>990</v>
      </c>
      <c r="B239" s="522" t="s">
        <v>990</v>
      </c>
      <c r="C239" s="522">
        <v>2100</v>
      </c>
      <c r="D239" s="531" t="s">
        <v>1022</v>
      </c>
      <c r="E239" s="523">
        <f>SUMIFS('Accounting data'!$G$2:$G$37002,'Accounting data'!$J$2:$J$37002,"21*",'Accounting data'!$K$2:$K$37002,"63*")+SUMIFS('Accounting data'!$G$2:$G$37002,'Accounting data'!$J$2:$J$37002,"21*",'Accounting data'!$K$2:$K$37002,"64*")+SUMIFS('Accounting data'!$G$2:$G$37002,'Accounting data'!$J$2:$J$37002,"21*",'Accounting data'!$K$2:$K$37002,"65*")</f>
        <v>718441</v>
      </c>
    </row>
    <row r="240" spans="1:5" x14ac:dyDescent="0.2">
      <c r="A240" s="522" t="s">
        <v>991</v>
      </c>
      <c r="B240" s="522" t="s">
        <v>990</v>
      </c>
      <c r="C240" s="522">
        <v>2100</v>
      </c>
      <c r="D240" s="522">
        <v>6300</v>
      </c>
      <c r="E240" s="523">
        <f>SUMIFS('Accounting data'!$G$2:$G$37002,'Accounting data'!$H$2:$H$37002,"9999*",'Accounting data'!$J$2:$J$37002,"21*",'Accounting data'!$K$2:$K$37002,"63*")</f>
        <v>0</v>
      </c>
    </row>
    <row r="241" spans="1:5" x14ac:dyDescent="0.2">
      <c r="A241" s="522" t="s">
        <v>991</v>
      </c>
      <c r="B241" s="522" t="s">
        <v>990</v>
      </c>
      <c r="C241" s="522">
        <v>2100</v>
      </c>
      <c r="D241" s="522">
        <v>6400</v>
      </c>
      <c r="E241" s="523">
        <f>SUMIFS('Accounting data'!$G$2:$G$37002,'Accounting data'!$H$2:$H$37002,"9999*",'Accounting data'!$J$2:$J$37002,"21*",'Accounting data'!$K$2:$K$37002,"64*")</f>
        <v>0</v>
      </c>
    </row>
    <row r="242" spans="1:5" x14ac:dyDescent="0.2">
      <c r="A242" s="522" t="s">
        <v>991</v>
      </c>
      <c r="B242" s="522" t="s">
        <v>990</v>
      </c>
      <c r="C242" s="522">
        <v>2100</v>
      </c>
      <c r="D242" s="522">
        <v>6500</v>
      </c>
      <c r="E242" s="523">
        <f>SUMIFS('Accounting data'!$G$2:$G$37002,'Accounting data'!$H$2:$H$37002,"9999*",'Accounting data'!$J$2:$J$37002,"21*",'Accounting data'!$K$2:$K$37002,"65*")</f>
        <v>0</v>
      </c>
    </row>
    <row r="243" spans="1:5" x14ac:dyDescent="0.2">
      <c r="A243" s="522" t="s">
        <v>990</v>
      </c>
      <c r="B243" s="522" t="s">
        <v>992</v>
      </c>
      <c r="C243" s="522">
        <v>2100</v>
      </c>
      <c r="D243" s="531" t="s">
        <v>1022</v>
      </c>
      <c r="E243" s="523">
        <f>SUMIFS('Accounting data'!$G$2:$G$37002,'Accounting data'!$I$2:$I$37002,"7*",'Accounting data'!$J$2:$J$37002,"21*",'Accounting data'!$K$2:$K$37002,"63*")+SUMIFS('Accounting data'!$G$2:$G$37002,'Accounting data'!$I$2:$I$37002,"8*",'Accounting data'!$J$2:$J$37002,"21*",'Accounting data'!$K$2:$K$37002,"63*")+SUMIFS('Accounting data'!$G$2:$G$37002,'Accounting data'!$I$2:$I$37002,"9*",'Accounting data'!$J$2:$J$37002,"21*",'Accounting data'!$K$2:$K$37002,"63*")+SUMIFS('Accounting data'!$G$2:$G$37002,'Accounting data'!$I$2:$I$37002,"7*",'Accounting data'!$J$2:$J$37002,"21*",'Accounting data'!$K$2:$K$37002,"64*")+SUMIFS('Accounting data'!$G$2:$G$37002,'Accounting data'!$I$2:$I$37002,"8*",'Accounting data'!$J$2:$J$37002,"21*",'Accounting data'!$K$2:$K$37002,"64*")+SUMIFS('Accounting data'!$G$2:$G$37002,'Accounting data'!$I$2:$I$37002,"9*",'Accounting data'!$J$2:$J$37002,"21*",'Accounting data'!$K$2:$K$37002,"64*")+SUMIFS('Accounting data'!$G$2:$G$37002,'Accounting data'!$I$2:$I$37002,"7*",'Accounting data'!$J$2:$J$37002,"21*",'Accounting data'!$K$2:$K$37002,"65*")+SUMIFS('Accounting data'!$G$2:$G$37002,'Accounting data'!$I$2:$I$37002,"8*",'Accounting data'!$J$2:$J$37002,"21*",'Accounting data'!$K$2:$K$37002,"65*")+SUMIFS('Accounting data'!$G$2:$G$37002,'Accounting data'!$I$2:$I$37002,"9*",'Accounting data'!$J$2:$J$37002,"21*",'Accounting data'!$K$2:$K$37002,"65*")</f>
        <v>0</v>
      </c>
    </row>
    <row r="244" spans="1:5" x14ac:dyDescent="0.2">
      <c r="A244" s="524" t="s">
        <v>991</v>
      </c>
      <c r="B244" s="522" t="s">
        <v>992</v>
      </c>
      <c r="C244" s="522">
        <v>2100</v>
      </c>
      <c r="D244" s="522">
        <v>6300</v>
      </c>
      <c r="E244" s="523">
        <f>SUMIFS('Accounting data'!$G$2:$G$37002,'Accounting data'!$H$2:$H$37002,"9999*",'Accounting data'!$I$2:$I$37002,"7*",'Accounting data'!$J$2:$J$37002,"21*",'Accounting data'!$K$2:$K$37002,"63*")+SUMIFS('Accounting data'!$G$2:$G$37002,'Accounting data'!$H$2:$H$37002,"9999*",'Accounting data'!$I$2:$I$37002,"8*",'Accounting data'!$J$2:$J$37002,"21*",'Accounting data'!$K$2:$K$37002,"63*")+SUMIFS('Accounting data'!$G$2:$G$37002,'Accounting data'!$H$2:$H$37002,"9999*",'Accounting data'!$I$2:$I$37002,"9*",'Accounting data'!$J$2:$J$37002,"21*",'Accounting data'!$K$2:$K$37002,"63*")</f>
        <v>0</v>
      </c>
    </row>
    <row r="245" spans="1:5" x14ac:dyDescent="0.2">
      <c r="A245" s="524" t="s">
        <v>991</v>
      </c>
      <c r="B245" s="522" t="s">
        <v>992</v>
      </c>
      <c r="C245" s="522">
        <v>2100</v>
      </c>
      <c r="D245" s="522">
        <v>6400</v>
      </c>
      <c r="E245" s="523">
        <f>SUMIFS('Accounting data'!$G$2:$G$37002,'Accounting data'!$H$2:$H$37002,"9999*",'Accounting data'!$I$2:$I$37002,"7*",'Accounting data'!$J$2:$J$37002,"21*",'Accounting data'!$K$2:$K$37002,"64*")+SUMIFS('Accounting data'!$G$2:$G$37002,'Accounting data'!$H$2:$H$37002,"9999*",'Accounting data'!$I$2:$I$37002,"8*",'Accounting data'!$J$2:$J$37002,"21*",'Accounting data'!$K$2:$K$37002,"64*")+SUMIFS('Accounting data'!$G$2:$G$37002,'Accounting data'!$H$2:$H$37002,"9999*",'Accounting data'!$I$2:$I$37002,"9*",'Accounting data'!$J$2:$J$37002,"21*",'Accounting data'!$K$2:$K$37002,"64*")</f>
        <v>0</v>
      </c>
    </row>
    <row r="246" spans="1:5" x14ac:dyDescent="0.2">
      <c r="A246" s="524" t="s">
        <v>991</v>
      </c>
      <c r="B246" s="522" t="s">
        <v>992</v>
      </c>
      <c r="C246" s="522">
        <v>2100</v>
      </c>
      <c r="D246" s="522">
        <v>6500</v>
      </c>
      <c r="E246" s="523">
        <f>SUMIFS('Accounting data'!$G$2:$G$37002,'Accounting data'!$H$2:$H$37002,"9999*",'Accounting data'!$I$2:$I$37002,"7*",'Accounting data'!$J$2:$J$37002,"21*",'Accounting data'!$K$2:$K$37002,"65*")+SUMIFS('Accounting data'!$G$2:$G$37002,'Accounting data'!$H$2:$H$37002,"9999*",'Accounting data'!$I$2:$I$37002,"8*",'Accounting data'!$J$2:$J$37002,"21*",'Accounting data'!$K$2:$K$37002,"65*")+SUMIFS('Accounting data'!$G$2:$G$37002,'Accounting data'!$H$2:$H$37002,"9999*",'Accounting data'!$I$2:$I$37002,"9*",'Accounting data'!$J$2:$J$37002,"21*",'Accounting data'!$K$2:$K$37002,"65*")</f>
        <v>0</v>
      </c>
    </row>
    <row r="265" spans="1:5" x14ac:dyDescent="0.2">
      <c r="A265" s="525" t="s">
        <v>1024</v>
      </c>
      <c r="B265" s="525"/>
      <c r="C265" s="525"/>
      <c r="D265" s="525"/>
      <c r="E265" s="527">
        <f>((E239-E240-E241-E242-E243)+(E244+E245+E246+E247+E248+E249+E250+E251+E252))-((E253-E254-E255)+(E256+E257+E258))-((E259-E260-E261)+(E262+E263+E264))</f>
        <v>718441</v>
      </c>
    </row>
    <row r="266" spans="1:5" x14ac:dyDescent="0.2">
      <c r="A266" s="522" t="s">
        <v>990</v>
      </c>
      <c r="B266" s="522" t="s">
        <v>990</v>
      </c>
      <c r="C266" s="522">
        <v>2200</v>
      </c>
      <c r="D266" s="531" t="s">
        <v>1022</v>
      </c>
      <c r="E266" s="523">
        <f>SUMIFS('Accounting data'!$G$2:$G$37002,'Accounting data'!$J$2:$J$37002,"22*",'Accounting data'!$K$2:$K$37002,"63*")+SUMIFS('Accounting data'!$G$2:$G$37002,'Accounting data'!$J$2:$J$37002,"22*",'Accounting data'!$K$2:$K$37002,"64*")+SUMIFS('Accounting data'!$G$2:$G$37002,'Accounting data'!$J$2:$J$37002,"22*",'Accounting data'!$K$2:$K$37002,"65*")</f>
        <v>17216</v>
      </c>
    </row>
    <row r="267" spans="1:5" x14ac:dyDescent="0.2">
      <c r="A267" s="522" t="s">
        <v>991</v>
      </c>
      <c r="B267" s="522" t="s">
        <v>990</v>
      </c>
      <c r="C267" s="522">
        <v>2200</v>
      </c>
      <c r="D267" s="522">
        <v>6300</v>
      </c>
      <c r="E267" s="523">
        <f>SUMIFS('Accounting data'!$G$2:$G$37002,'Accounting data'!$H$2:$H$37002,"9999*",'Accounting data'!$J$2:$J$37002,"22*",'Accounting data'!$K$2:$K$37002,"63*")</f>
        <v>0</v>
      </c>
    </row>
    <row r="268" spans="1:5" x14ac:dyDescent="0.2">
      <c r="A268" s="522" t="s">
        <v>991</v>
      </c>
      <c r="B268" s="522" t="s">
        <v>990</v>
      </c>
      <c r="C268" s="522">
        <v>2200</v>
      </c>
      <c r="D268" s="522">
        <v>6400</v>
      </c>
      <c r="E268" s="523">
        <f>SUMIFS('Accounting data'!$G$2:$G$37002,'Accounting data'!$H$2:$H$37002,"9999*",'Accounting data'!$J$2:$J$37002,"22*",'Accounting data'!$K$2:$K$37002,"64*")</f>
        <v>0</v>
      </c>
    </row>
    <row r="269" spans="1:5" x14ac:dyDescent="0.2">
      <c r="A269" s="522" t="s">
        <v>991</v>
      </c>
      <c r="B269" s="522" t="s">
        <v>990</v>
      </c>
      <c r="C269" s="522">
        <v>2200</v>
      </c>
      <c r="D269" s="522">
        <v>6500</v>
      </c>
      <c r="E269" s="523">
        <f>SUMIFS('Accounting data'!$G$2:$G$37002,'Accounting data'!$H$2:$H$37002,"9999*",'Accounting data'!$J$2:$J$37002,"22*",'Accounting data'!$K$2:$K$37002,"65*")</f>
        <v>0</v>
      </c>
    </row>
    <row r="270" spans="1:5" x14ac:dyDescent="0.2">
      <c r="A270" s="522" t="s">
        <v>990</v>
      </c>
      <c r="B270" s="522" t="s">
        <v>992</v>
      </c>
      <c r="C270" s="522">
        <v>2200</v>
      </c>
      <c r="D270" s="531" t="s">
        <v>1022</v>
      </c>
      <c r="E270" s="523">
        <f>SUMIFS('Accounting data'!$G$2:$G$37002,'Accounting data'!$I$2:$I$37002,"7*",'Accounting data'!$J$2:$J$37002,"22*",'Accounting data'!$K$2:$K$37002,"63*")+SUMIFS('Accounting data'!$G$2:$G$37002,'Accounting data'!$I$2:$I$37002,"8*",'Accounting data'!$J$2:$J$37002,"22*",'Accounting data'!$K$2:$K$37002,"63*")+SUMIFS('Accounting data'!$G$2:$G$37002,'Accounting data'!$I$2:$I$37002,"9*",'Accounting data'!$J$2:$J$37002,"22*",'Accounting data'!$K$2:$K$37002,"63*")+SUMIFS('Accounting data'!$G$2:$G$37002,'Accounting data'!$I$2:$I$37002,"7*",'Accounting data'!$J$2:$J$37002,"22*",'Accounting data'!$K$2:$K$37002,"64*")+SUMIFS('Accounting data'!$G$2:$G$37002,'Accounting data'!$I$2:$I$37002,"8*",'Accounting data'!$J$2:$J$37002,"22*",'Accounting data'!$K$2:$K$37002,"64*")+SUMIFS('Accounting data'!$G$2:$G$37002,'Accounting data'!$I$2:$I$37002,"9*",'Accounting data'!$J$2:$J$37002,"22*",'Accounting data'!$K$2:$K$37002,"64*")+SUMIFS('Accounting data'!$G$2:$G$37002,'Accounting data'!$I$2:$I$37002,"7*",'Accounting data'!$J$2:$J$37002,"22*",'Accounting data'!$K$2:$K$37002,"65*")+SUMIFS('Accounting data'!$G$2:$G$37002,'Accounting data'!$I$2:$I$37002,"8*",'Accounting data'!$J$2:$J$37002,"22*",'Accounting data'!$K$2:$K$37002,"65*")+SUMIFS('Accounting data'!$G$2:$G$37002,'Accounting data'!$I$2:$I$37002,"9*",'Accounting data'!$J$2:$J$37002,"22*",'Accounting data'!$K$2:$K$37002,"65*")</f>
        <v>0</v>
      </c>
    </row>
    <row r="271" spans="1:5" x14ac:dyDescent="0.2">
      <c r="A271" s="524" t="s">
        <v>991</v>
      </c>
      <c r="B271" s="522" t="s">
        <v>992</v>
      </c>
      <c r="C271" s="522">
        <v>2200</v>
      </c>
      <c r="D271" s="522">
        <v>6300</v>
      </c>
      <c r="E271" s="523">
        <f>SUMIFS('Accounting data'!$G$2:$G$37002,'Accounting data'!$H$2:$H$37002,"9999*",'Accounting data'!$I$2:$I$37002,"7*",'Accounting data'!$J$2:$J$37002,"22*",'Accounting data'!$K$2:$K$37002,"63*")+SUMIFS('Accounting data'!$G$2:$G$37002,'Accounting data'!$H$2:$H$37002,"9999*",'Accounting data'!$I$2:$I$37002,"8*",'Accounting data'!$J$2:$J$37002,"22*",'Accounting data'!$K$2:$K$37002,"63*")+SUMIFS('Accounting data'!$G$2:$G$37002,'Accounting data'!$H$2:$H$37002,"9999*",'Accounting data'!$I$2:$I$37002,"9*",'Accounting data'!$J$2:$J$37002,"22*",'Accounting data'!$K$2:$K$37002,"63*")</f>
        <v>0</v>
      </c>
    </row>
    <row r="272" spans="1:5" x14ac:dyDescent="0.2">
      <c r="A272" s="524" t="s">
        <v>991</v>
      </c>
      <c r="B272" s="522" t="s">
        <v>992</v>
      </c>
      <c r="C272" s="522">
        <v>2200</v>
      </c>
      <c r="D272" s="522">
        <v>6400</v>
      </c>
      <c r="E272" s="523">
        <f>SUMIFS('Accounting data'!$G$2:$G$37002,'Accounting data'!$H$2:$H$37002,"9999*",'Accounting data'!$I$2:$I$37002,"7*",'Accounting data'!$J$2:$J$37002,"22*",'Accounting data'!$K$2:$K$37002,"64*")+SUMIFS('Accounting data'!$G$2:$G$37002,'Accounting data'!$H$2:$H$37002,"9999*",'Accounting data'!$I$2:$I$37002,"8*",'Accounting data'!$J$2:$J$37002,"22*",'Accounting data'!$K$2:$K$37002,"64*")+SUMIFS('Accounting data'!$G$2:$G$37002,'Accounting data'!$H$2:$H$37002,"9999*",'Accounting data'!$I$2:$I$37002,"9*",'Accounting data'!$J$2:$J$37002,"22*",'Accounting data'!$K$2:$K$37002,"64*")</f>
        <v>0</v>
      </c>
    </row>
    <row r="273" spans="1:5" x14ac:dyDescent="0.2">
      <c r="A273" s="524" t="s">
        <v>991</v>
      </c>
      <c r="B273" s="522" t="s">
        <v>992</v>
      </c>
      <c r="C273" s="522">
        <v>2200</v>
      </c>
      <c r="D273" s="522">
        <v>6500</v>
      </c>
      <c r="E273" s="523">
        <f>SUMIFS('Accounting data'!$G$2:$G$37002,'Accounting data'!$H$2:$H$37002,"9999*",'Accounting data'!$I$2:$I$37002,"7*",'Accounting data'!$J$2:$J$37002,"22*",'Accounting data'!$K$2:$K$37002,"65*")+SUMIFS('Accounting data'!$G$2:$G$37002,'Accounting data'!$H$2:$H$37002,"9999*",'Accounting data'!$I$2:$I$37002,"8*",'Accounting data'!$J$2:$J$37002,"22*",'Accounting data'!$K$2:$K$37002,"65*")+SUMIFS('Accounting data'!$G$2:$G$37002,'Accounting data'!$H$2:$H$37002,"9999*",'Accounting data'!$I$2:$I$37002,"9*",'Accounting data'!$J$2:$J$37002,"22*",'Accounting data'!$K$2:$K$37002,"65*")</f>
        <v>0</v>
      </c>
    </row>
    <row r="292" spans="1:5" x14ac:dyDescent="0.2">
      <c r="A292" s="525" t="s">
        <v>1025</v>
      </c>
      <c r="B292" s="525"/>
      <c r="C292" s="525"/>
      <c r="D292" s="525"/>
      <c r="E292" s="527">
        <f>((E266-E267-E268-E269-E270)+(E271+E272+E273+E274+E275+E276+E277+E278+E279))-((E280-E281-E282)+(E283+E284+E285))-((E286-E287-E288)+(E289+E290+E291))</f>
        <v>17216</v>
      </c>
    </row>
    <row r="293" spans="1:5" x14ac:dyDescent="0.2">
      <c r="A293" s="522" t="s">
        <v>990</v>
      </c>
      <c r="B293" s="522" t="s">
        <v>990</v>
      </c>
      <c r="C293" s="522">
        <v>2300</v>
      </c>
      <c r="D293" s="531" t="s">
        <v>1022</v>
      </c>
      <c r="E293" s="523">
        <f>SUMIFS('Accounting data'!$G$2:$G$37002,'Accounting data'!$J$2:$J$37002,"23*",'Accounting data'!$K$2:$K$37002,"63*")+SUMIFS('Accounting data'!$G$2:$G$37002,'Accounting data'!$J$2:$J$37002,"23*",'Accounting data'!$K$2:$K$37002,"64*")+SUMIFS('Accounting data'!$G$2:$G$37002,'Accounting data'!$J$2:$J$37002,"23*",'Accounting data'!$K$2:$K$37002,"65*")</f>
        <v>0</v>
      </c>
    </row>
    <row r="294" spans="1:5" x14ac:dyDescent="0.2">
      <c r="A294" s="522" t="s">
        <v>991</v>
      </c>
      <c r="B294" s="522" t="s">
        <v>990</v>
      </c>
      <c r="C294" s="522">
        <v>2300</v>
      </c>
      <c r="D294" s="522">
        <v>6300</v>
      </c>
      <c r="E294" s="523">
        <f>SUMIFS('Accounting data'!$G$2:$G$37002,'Accounting data'!$H$2:$H$37002,"9999*",'Accounting data'!$J$2:$J$37002,"23*",'Accounting data'!$K$2:$K$37002,"63*")</f>
        <v>0</v>
      </c>
    </row>
    <row r="295" spans="1:5" x14ac:dyDescent="0.2">
      <c r="A295" s="522" t="s">
        <v>991</v>
      </c>
      <c r="B295" s="522" t="s">
        <v>990</v>
      </c>
      <c r="C295" s="522">
        <v>2300</v>
      </c>
      <c r="D295" s="522">
        <v>6400</v>
      </c>
      <c r="E295" s="523">
        <f>SUMIFS('Accounting data'!$G$2:$G$37002,'Accounting data'!$H$2:$H$37002,"9999*",'Accounting data'!$J$2:$J$37002,"23*",'Accounting data'!$K$2:$K$37002,"64*")</f>
        <v>0</v>
      </c>
    </row>
    <row r="296" spans="1:5" x14ac:dyDescent="0.2">
      <c r="A296" s="522" t="s">
        <v>991</v>
      </c>
      <c r="B296" s="522" t="s">
        <v>990</v>
      </c>
      <c r="C296" s="522">
        <v>2300</v>
      </c>
      <c r="D296" s="522">
        <v>6500</v>
      </c>
      <c r="E296" s="523">
        <f>SUMIFS('Accounting data'!$G$2:$G$37002,'Accounting data'!$H$2:$H$37002,"9999*",'Accounting data'!$J$2:$J$37002,"23*",'Accounting data'!$K$2:$K$37002,"65*")</f>
        <v>0</v>
      </c>
    </row>
    <row r="297" spans="1:5" x14ac:dyDescent="0.2">
      <c r="A297" s="522" t="s">
        <v>990</v>
      </c>
      <c r="B297" s="522" t="s">
        <v>992</v>
      </c>
      <c r="C297" s="522">
        <v>2300</v>
      </c>
      <c r="D297" s="531" t="s">
        <v>1022</v>
      </c>
      <c r="E297" s="523">
        <f>SUMIFS('Accounting data'!$G$2:$G$37002,'Accounting data'!$I$2:$I$37002,"7*",'Accounting data'!$J$2:$J$37002,"23*",'Accounting data'!$K$2:$K$37002,"63*")+SUMIFS('Accounting data'!$G$2:$G$37002,'Accounting data'!$I$2:$I$37002,"8*",'Accounting data'!$J$2:$J$37002,"23*",'Accounting data'!$K$2:$K$37002,"63*")+SUMIFS('Accounting data'!$G$2:$G$37002,'Accounting data'!$I$2:$I$37002,"9*",'Accounting data'!$J$2:$J$37002,"23*",'Accounting data'!$K$2:$K$37002,"63*")+SUMIFS('Accounting data'!$G$2:$G$37002,'Accounting data'!$I$2:$I$37002,"7*",'Accounting data'!$J$2:$J$37002,"23*",'Accounting data'!$K$2:$K$37002,"64*")+SUMIFS('Accounting data'!$G$2:$G$37002,'Accounting data'!$I$2:$I$37002,"8*",'Accounting data'!$J$2:$J$37002,"23*",'Accounting data'!$K$2:$K$37002,"64*")+SUMIFS('Accounting data'!$G$2:$G$37002,'Accounting data'!$I$2:$I$37002,"9*",'Accounting data'!$J$2:$J$37002,"23*",'Accounting data'!$K$2:$K$37002,"64*")+SUMIFS('Accounting data'!$G$2:$G$37002,'Accounting data'!$I$2:$I$37002,"7*",'Accounting data'!$J$2:$J$37002,"23*",'Accounting data'!$K$2:$K$37002,"65*")+SUMIFS('Accounting data'!$G$2:$G$37002,'Accounting data'!$I$2:$I$37002,"8*",'Accounting data'!$J$2:$J$37002,"23*",'Accounting data'!$K$2:$K$37002,"65*")+SUMIFS('Accounting data'!$G$2:$G$37002,'Accounting data'!$I$2:$I$37002,"9*",'Accounting data'!$J$2:$J$37002,"23*",'Accounting data'!$K$2:$K$37002,"65*")</f>
        <v>0</v>
      </c>
    </row>
    <row r="298" spans="1:5" x14ac:dyDescent="0.2">
      <c r="A298" s="524" t="s">
        <v>991</v>
      </c>
      <c r="B298" s="522" t="s">
        <v>992</v>
      </c>
      <c r="C298" s="522">
        <v>2300</v>
      </c>
      <c r="D298" s="522">
        <v>6300</v>
      </c>
      <c r="E298" s="523">
        <f>SUMIFS('Accounting data'!$G$2:$G$37002,'Accounting data'!$H$2:$H$37002,"9999*",'Accounting data'!$I$2:$I$37002,"7*",'Accounting data'!$J$2:$J$37002,"23*",'Accounting data'!$K$2:$K$37002,"63*")+SUMIFS('Accounting data'!$G$2:$G$37002,'Accounting data'!$H$2:$H$37002,"9999*",'Accounting data'!$I$2:$I$37002,"8*",'Accounting data'!$J$2:$J$37002,"23*",'Accounting data'!$K$2:$K$37002,"63*")+SUMIFS('Accounting data'!$G$2:$G$37002,'Accounting data'!$H$2:$H$37002,"9999*",'Accounting data'!$I$2:$I$37002,"9*",'Accounting data'!$J$2:$J$37002,"23*",'Accounting data'!$K$2:$K$37002,"63*")</f>
        <v>0</v>
      </c>
    </row>
    <row r="299" spans="1:5" x14ac:dyDescent="0.2">
      <c r="A299" s="524" t="s">
        <v>991</v>
      </c>
      <c r="B299" s="522" t="s">
        <v>992</v>
      </c>
      <c r="C299" s="522">
        <v>2300</v>
      </c>
      <c r="D299" s="522">
        <v>6400</v>
      </c>
      <c r="E299" s="523">
        <f>SUMIFS('Accounting data'!$G$2:$G$37002,'Accounting data'!$H$2:$H$37002,"9999*",'Accounting data'!$I$2:$I$37002,"7*",'Accounting data'!$J$2:$J$37002,"23*",'Accounting data'!$K$2:$K$37002,"64*")+SUMIFS('Accounting data'!$G$2:$G$37002,'Accounting data'!$H$2:$H$37002,"9999*",'Accounting data'!$I$2:$I$37002,"8*",'Accounting data'!$J$2:$J$37002,"23*",'Accounting data'!$K$2:$K$37002,"64*")+SUMIFS('Accounting data'!$G$2:$G$37002,'Accounting data'!$H$2:$H$37002,"9999*",'Accounting data'!$I$2:$I$37002,"9*",'Accounting data'!$J$2:$J$37002,"23*",'Accounting data'!$K$2:$K$37002,"64*")</f>
        <v>0</v>
      </c>
    </row>
    <row r="300" spans="1:5" x14ac:dyDescent="0.2">
      <c r="A300" s="524" t="s">
        <v>991</v>
      </c>
      <c r="B300" s="522" t="s">
        <v>992</v>
      </c>
      <c r="C300" s="522">
        <v>2300</v>
      </c>
      <c r="D300" s="522">
        <v>6500</v>
      </c>
      <c r="E300" s="523">
        <f>SUMIFS('Accounting data'!$G$2:$G$37002,'Accounting data'!$H$2:$H$37002,"9999*",'Accounting data'!$I$2:$I$37002,"7*",'Accounting data'!$J$2:$J$37002,"23*",'Accounting data'!$K$2:$K$37002,"65*")+SUMIFS('Accounting data'!$G$2:$G$37002,'Accounting data'!$H$2:$H$37002,"9999*",'Accounting data'!$I$2:$I$37002,"8*",'Accounting data'!$J$2:$J$37002,"23*",'Accounting data'!$K$2:$K$37002,"65*")+SUMIFS('Accounting data'!$G$2:$G$37002,'Accounting data'!$H$2:$H$37002,"9999*",'Accounting data'!$I$2:$I$37002,"9*",'Accounting data'!$J$2:$J$37002,"23*",'Accounting data'!$K$2:$K$37002,"65*")</f>
        <v>0</v>
      </c>
    </row>
    <row r="319" spans="1:5" x14ac:dyDescent="0.2">
      <c r="A319" s="525" t="s">
        <v>1026</v>
      </c>
      <c r="B319" s="525"/>
      <c r="C319" s="525"/>
      <c r="D319" s="525"/>
      <c r="E319" s="527">
        <f>((E293-E294-E295-E296-E297)+(E298+E299+E300+E301+E302+E303+E304+E305+E306))-((E307-E308-E309)+(E310+E311+E312))-((E313-E314-E315)+(E316+E317+E318))</f>
        <v>0</v>
      </c>
    </row>
    <row r="320" spans="1:5" x14ac:dyDescent="0.2">
      <c r="A320" s="522" t="s">
        <v>990</v>
      </c>
      <c r="B320" s="522" t="s">
        <v>990</v>
      </c>
      <c r="C320" s="522">
        <v>2400</v>
      </c>
      <c r="D320" s="531" t="s">
        <v>1022</v>
      </c>
      <c r="E320" s="523">
        <f>SUMIFS('Accounting data'!$G$2:$G$37002,'Accounting data'!$J$2:$J$37002,"24*",'Accounting data'!$K$2:$K$37002,"63*")+SUMIFS('Accounting data'!$G$2:$G$37002,'Accounting data'!$J$2:$J$37002,"24*",'Accounting data'!$K$2:$K$37002,"64*")+SUMIFS('Accounting data'!$G$2:$G$37002,'Accounting data'!$J$2:$J$37002,"24*",'Accounting data'!$K$2:$K$37002,"65*")</f>
        <v>39031</v>
      </c>
    </row>
    <row r="321" spans="1:5" x14ac:dyDescent="0.2">
      <c r="A321" s="522" t="s">
        <v>991</v>
      </c>
      <c r="B321" s="522" t="s">
        <v>990</v>
      </c>
      <c r="C321" s="522">
        <v>2400</v>
      </c>
      <c r="D321" s="522">
        <v>6300</v>
      </c>
      <c r="E321" s="523">
        <f>SUMIFS('Accounting data'!$G$2:$G$37002,'Accounting data'!$H$2:$H$37002,"9999*",'Accounting data'!$J$2:$J$37002,"24*",'Accounting data'!$K$2:$K$37002,"63*")</f>
        <v>0</v>
      </c>
    </row>
    <row r="322" spans="1:5" x14ac:dyDescent="0.2">
      <c r="A322" s="522" t="s">
        <v>991</v>
      </c>
      <c r="B322" s="522" t="s">
        <v>990</v>
      </c>
      <c r="C322" s="522">
        <v>2400</v>
      </c>
      <c r="D322" s="522">
        <v>6400</v>
      </c>
      <c r="E322" s="523">
        <f>SUMIFS('Accounting data'!$G$2:$G$37002,'Accounting data'!$H$2:$H$37002,"9999*",'Accounting data'!$J$2:$J$37002,"24*",'Accounting data'!$K$2:$K$37002,"64*")</f>
        <v>0</v>
      </c>
    </row>
    <row r="323" spans="1:5" x14ac:dyDescent="0.2">
      <c r="A323" s="522" t="s">
        <v>991</v>
      </c>
      <c r="B323" s="522" t="s">
        <v>990</v>
      </c>
      <c r="C323" s="522">
        <v>2400</v>
      </c>
      <c r="D323" s="522">
        <v>6500</v>
      </c>
      <c r="E323" s="523">
        <f>SUMIFS('Accounting data'!$G$2:$G$37002,'Accounting data'!$H$2:$H$37002,"9999*",'Accounting data'!$J$2:$J$37002,"24*",'Accounting data'!$K$2:$K$37002,"65*")</f>
        <v>0</v>
      </c>
    </row>
    <row r="324" spans="1:5" x14ac:dyDescent="0.2">
      <c r="A324" s="522" t="s">
        <v>990</v>
      </c>
      <c r="B324" s="522" t="s">
        <v>992</v>
      </c>
      <c r="C324" s="522">
        <v>2400</v>
      </c>
      <c r="D324" s="531" t="s">
        <v>1022</v>
      </c>
      <c r="E324" s="523">
        <f>SUMIFS('Accounting data'!$G$2:$G$37002,'Accounting data'!$I$2:$I$37002,"7*",'Accounting data'!$J$2:$J$37002,"24*",'Accounting data'!$K$2:$K$37002,"63*")+SUMIFS('Accounting data'!$G$2:$G$37002,'Accounting data'!$I$2:$I$37002,"8*",'Accounting data'!$J$2:$J$37002,"24*",'Accounting data'!$K$2:$K$37002,"63*")+SUMIFS('Accounting data'!$G$2:$G$37002,'Accounting data'!$I$2:$I$37002,"9*",'Accounting data'!$J$2:$J$37002,"24*",'Accounting data'!$K$2:$K$37002,"63*")+SUMIFS('Accounting data'!$G$2:$G$37002,'Accounting data'!$I$2:$I$37002,"7*",'Accounting data'!$J$2:$J$37002,"24*",'Accounting data'!$K$2:$K$37002,"64*")+SUMIFS('Accounting data'!$G$2:$G$37002,'Accounting data'!$I$2:$I$37002,"8*",'Accounting data'!$J$2:$J$37002,"24*",'Accounting data'!$K$2:$K$37002,"64*")+SUMIFS('Accounting data'!$G$2:$G$37002,'Accounting data'!$I$2:$I$37002,"9*",'Accounting data'!$J$2:$J$37002,"24*",'Accounting data'!$K$2:$K$37002,"64*")+SUMIFS('Accounting data'!$G$2:$G$37002,'Accounting data'!$I$2:$I$37002,"7*",'Accounting data'!$J$2:$J$37002,"24*",'Accounting data'!$K$2:$K$37002,"65*")+SUMIFS('Accounting data'!$G$2:$G$37002,'Accounting data'!$I$2:$I$37002,"8*",'Accounting data'!$J$2:$J$37002,"24*",'Accounting data'!$K$2:$K$37002,"65*")+SUMIFS('Accounting data'!$G$2:$G$37002,'Accounting data'!$I$2:$I$37002,"9*",'Accounting data'!$J$2:$J$37002,"24*",'Accounting data'!$K$2:$K$37002,"65*")</f>
        <v>0</v>
      </c>
    </row>
    <row r="325" spans="1:5" x14ac:dyDescent="0.2">
      <c r="A325" s="524" t="s">
        <v>991</v>
      </c>
      <c r="B325" s="522" t="s">
        <v>992</v>
      </c>
      <c r="C325" s="522">
        <v>2400</v>
      </c>
      <c r="D325" s="522">
        <v>6300</v>
      </c>
      <c r="E325" s="523">
        <f>SUMIFS('Accounting data'!$G$2:$G$37002,'Accounting data'!$H$2:$H$37002,"9999*",'Accounting data'!$I$2:$I$37002,"7*",'Accounting data'!$J$2:$J$37002,"24*",'Accounting data'!$K$2:$K$37002,"63*")+SUMIFS('Accounting data'!$G$2:$G$37002,'Accounting data'!$H$2:$H$37002,"9999*",'Accounting data'!$I$2:$I$37002,"8*",'Accounting data'!$J$2:$J$37002,"24*",'Accounting data'!$K$2:$K$37002,"63*")+SUMIFS('Accounting data'!$G$2:$G$37002,'Accounting data'!$H$2:$H$37002,"9999*",'Accounting data'!$I$2:$I$37002,"9*",'Accounting data'!$J$2:$J$37002,"24*",'Accounting data'!$K$2:$K$37002,"63*")</f>
        <v>0</v>
      </c>
    </row>
    <row r="326" spans="1:5" x14ac:dyDescent="0.2">
      <c r="A326" s="524" t="s">
        <v>991</v>
      </c>
      <c r="B326" s="522" t="s">
        <v>992</v>
      </c>
      <c r="C326" s="522">
        <v>2400</v>
      </c>
      <c r="D326" s="522">
        <v>6400</v>
      </c>
      <c r="E326" s="523">
        <f>SUMIFS('Accounting data'!$G$2:$G$37002,'Accounting data'!$H$2:$H$37002,"9999*",'Accounting data'!$I$2:$I$37002,"7*",'Accounting data'!$J$2:$J$37002,"24*",'Accounting data'!$K$2:$K$37002,"64*")+SUMIFS('Accounting data'!$G$2:$G$37002,'Accounting data'!$H$2:$H$37002,"9999*",'Accounting data'!$I$2:$I$37002,"8*",'Accounting data'!$J$2:$J$37002,"24*",'Accounting data'!$K$2:$K$37002,"64*")+SUMIFS('Accounting data'!$G$2:$G$37002,'Accounting data'!$H$2:$H$37002,"9999*",'Accounting data'!$I$2:$I$37002,"9*",'Accounting data'!$J$2:$J$37002,"24*",'Accounting data'!$K$2:$K$37002,"64*")</f>
        <v>0</v>
      </c>
    </row>
    <row r="327" spans="1:5" x14ac:dyDescent="0.2">
      <c r="A327" s="524" t="s">
        <v>991</v>
      </c>
      <c r="B327" s="522" t="s">
        <v>992</v>
      </c>
      <c r="C327" s="522">
        <v>2400</v>
      </c>
      <c r="D327" s="522">
        <v>6500</v>
      </c>
      <c r="E327" s="523">
        <f>SUMIFS('Accounting data'!$G$2:$G$37002,'Accounting data'!$H$2:$H$37002,"9999*",'Accounting data'!$I$2:$I$37002,"7*",'Accounting data'!$J$2:$J$37002,"24*",'Accounting data'!$K$2:$K$37002,"65*")+SUMIFS('Accounting data'!$G$2:$G$37002,'Accounting data'!$H$2:$H$37002,"9999*",'Accounting data'!$I$2:$I$37002,"8*",'Accounting data'!$J$2:$J$37002,"24*",'Accounting data'!$K$2:$K$37002,"65*")+SUMIFS('Accounting data'!$G$2:$G$37002,'Accounting data'!$H$2:$H$37002,"9999*",'Accounting data'!$I$2:$I$37002,"9*",'Accounting data'!$J$2:$J$37002,"24*",'Accounting data'!$K$2:$K$37002,"65*")</f>
        <v>0</v>
      </c>
    </row>
    <row r="346" spans="1:5" x14ac:dyDescent="0.2">
      <c r="A346" s="525" t="s">
        <v>1027</v>
      </c>
      <c r="B346" s="525"/>
      <c r="C346" s="525"/>
      <c r="D346" s="525"/>
      <c r="E346" s="527">
        <f>((E320-E321-E322-E323-E324)+(E325+E326+E327+E328+E329+E330+E331+E332+E333))-((E334-E335-E336)+(E337+E338+E339))-((E340-E341-E342)+(E343+E344+E345))</f>
        <v>39031</v>
      </c>
    </row>
    <row r="347" spans="1:5" x14ac:dyDescent="0.2">
      <c r="A347" s="522" t="s">
        <v>990</v>
      </c>
      <c r="B347" s="522" t="s">
        <v>990</v>
      </c>
      <c r="C347" s="522">
        <v>2500</v>
      </c>
      <c r="D347" s="531" t="s">
        <v>1022</v>
      </c>
      <c r="E347" s="523">
        <f>SUMIFS('Accounting data'!$G$2:$G$37002,'Accounting data'!$J$2:$J$37002,"25*",'Accounting data'!$K$2:$K$37002,"63*")+SUMIFS('Accounting data'!$G$2:$G$37002,'Accounting data'!$J$2:$J$37002,"25*",'Accounting data'!$K$2:$K$37002,"64*")+SUMIFS('Accounting data'!$G$2:$G$37002,'Accounting data'!$J$2:$J$37002,"25*",'Accounting data'!$K$2:$K$37002,"65*")</f>
        <v>1245937</v>
      </c>
    </row>
    <row r="348" spans="1:5" x14ac:dyDescent="0.2">
      <c r="A348" s="522" t="s">
        <v>991</v>
      </c>
      <c r="B348" s="522" t="s">
        <v>990</v>
      </c>
      <c r="C348" s="522">
        <v>2500</v>
      </c>
      <c r="D348" s="522">
        <v>6300</v>
      </c>
      <c r="E348" s="523">
        <f>SUMIFS('Accounting data'!$G$2:$G$37002,'Accounting data'!$H$2:$H$37002,"9999*",'Accounting data'!$J$2:$J$37002,"25*",'Accounting data'!$K$2:$K$37002,"63*")</f>
        <v>0</v>
      </c>
    </row>
    <row r="349" spans="1:5" x14ac:dyDescent="0.2">
      <c r="A349" s="522" t="s">
        <v>991</v>
      </c>
      <c r="B349" s="522" t="s">
        <v>990</v>
      </c>
      <c r="C349" s="522">
        <v>2500</v>
      </c>
      <c r="D349" s="522">
        <v>6400</v>
      </c>
      <c r="E349" s="523">
        <f>SUMIFS('Accounting data'!$G$2:$G$37002,'Accounting data'!$H$2:$H$37002,"9999*",'Accounting data'!$J$2:$J$37002,"25*",'Accounting data'!$K$2:$K$37002,"64*")</f>
        <v>0</v>
      </c>
    </row>
    <row r="350" spans="1:5" x14ac:dyDescent="0.2">
      <c r="A350" s="522" t="s">
        <v>991</v>
      </c>
      <c r="B350" s="522" t="s">
        <v>990</v>
      </c>
      <c r="C350" s="522">
        <v>2500</v>
      </c>
      <c r="D350" s="522">
        <v>6500</v>
      </c>
      <c r="E350" s="523">
        <f>SUMIFS('Accounting data'!$G$2:$G$37002,'Accounting data'!$H$2:$H$37002,"9999*",'Accounting data'!$J$2:$J$37002,"25*",'Accounting data'!$K$2:$K$37002,"65*")</f>
        <v>0</v>
      </c>
    </row>
    <row r="351" spans="1:5" x14ac:dyDescent="0.2">
      <c r="A351" s="522" t="s">
        <v>990</v>
      </c>
      <c r="B351" s="522" t="s">
        <v>992</v>
      </c>
      <c r="C351" s="522">
        <v>2500</v>
      </c>
      <c r="D351" s="531" t="s">
        <v>1022</v>
      </c>
      <c r="E351" s="523">
        <f>SUMIFS('Accounting data'!$G$2:$G$37002,'Accounting data'!$I$2:$I$37002,"7*",'Accounting data'!$J$2:$J$37002,"25*",'Accounting data'!$K$2:$K$37002,"63*")+SUMIFS('Accounting data'!$G$2:$G$37002,'Accounting data'!$I$2:$I$37002,"8*",'Accounting data'!$J$2:$J$37002,"25*",'Accounting data'!$K$2:$K$37002,"63*")+SUMIFS('Accounting data'!$G$2:$G$37002,'Accounting data'!$I$2:$I$37002,"9*",'Accounting data'!$J$2:$J$37002,"25*",'Accounting data'!$K$2:$K$37002,"63*")+SUMIFS('Accounting data'!$G$2:$G$37002,'Accounting data'!$I$2:$I$37002,"7*",'Accounting data'!$J$2:$J$37002,"25*",'Accounting data'!$K$2:$K$37002,"64*")+SUMIFS('Accounting data'!$G$2:$G$37002,'Accounting data'!$I$2:$I$37002,"8*",'Accounting data'!$J$2:$J$37002,"25*",'Accounting data'!$K$2:$K$37002,"64*")+SUMIFS('Accounting data'!$G$2:$G$37002,'Accounting data'!$I$2:$I$37002,"9*",'Accounting data'!$J$2:$J$37002,"25*",'Accounting data'!$K$2:$K$37002,"64*")+SUMIFS('Accounting data'!$G$2:$G$37002,'Accounting data'!$I$2:$I$37002,"7*",'Accounting data'!$J$2:$J$37002,"25*",'Accounting data'!$K$2:$K$37002,"65*")+SUMIFS('Accounting data'!$G$2:$G$37002,'Accounting data'!$I$2:$I$37002,"8*",'Accounting data'!$J$2:$J$37002,"25*",'Accounting data'!$K$2:$K$37002,"65*")+SUMIFS('Accounting data'!$G$2:$G$37002,'Accounting data'!$I$2:$I$37002,"9*",'Accounting data'!$J$2:$J$37002,"25*",'Accounting data'!$K$2:$K$37002,"65*")</f>
        <v>0</v>
      </c>
    </row>
    <row r="352" spans="1:5" x14ac:dyDescent="0.2">
      <c r="A352" s="524" t="s">
        <v>991</v>
      </c>
      <c r="B352" s="522" t="s">
        <v>992</v>
      </c>
      <c r="C352" s="522">
        <v>2500</v>
      </c>
      <c r="D352" s="522">
        <v>6300</v>
      </c>
      <c r="E352" s="523">
        <f>SUMIFS('Accounting data'!$G$2:$G$37002,'Accounting data'!$H$2:$H$37002,"9999*",'Accounting data'!$I$2:$I$37002,"7*",'Accounting data'!$J$2:$J$37002,"25*",'Accounting data'!$K$2:$K$37002,"63*")+SUMIFS('Accounting data'!$G$2:$G$37002,'Accounting data'!$H$2:$H$37002,"9999*",'Accounting data'!$I$2:$I$37002,"8*",'Accounting data'!$J$2:$J$37002,"25*",'Accounting data'!$K$2:$K$37002,"63*")+SUMIFS('Accounting data'!$G$2:$G$37002,'Accounting data'!$H$2:$H$37002,"9999*",'Accounting data'!$I$2:$I$37002,"9*",'Accounting data'!$J$2:$J$37002,"25*",'Accounting data'!$K$2:$K$37002,"63*")</f>
        <v>0</v>
      </c>
    </row>
    <row r="353" spans="1:5" x14ac:dyDescent="0.2">
      <c r="A353" s="524" t="s">
        <v>991</v>
      </c>
      <c r="B353" s="522" t="s">
        <v>992</v>
      </c>
      <c r="C353" s="522">
        <v>2500</v>
      </c>
      <c r="D353" s="522">
        <v>6400</v>
      </c>
      <c r="E353" s="523">
        <f>SUMIFS('Accounting data'!$G$2:$G$37002,'Accounting data'!$H$2:$H$37002,"9999*",'Accounting data'!$I$2:$I$37002,"7*",'Accounting data'!$J$2:$J$37002,"25*",'Accounting data'!$K$2:$K$37002,"64*")+SUMIFS('Accounting data'!$G$2:$G$37002,'Accounting data'!$H$2:$H$37002,"9999*",'Accounting data'!$I$2:$I$37002,"8*",'Accounting data'!$J$2:$J$37002,"25*",'Accounting data'!$K$2:$K$37002,"64*")+SUMIFS('Accounting data'!$G$2:$G$37002,'Accounting data'!$H$2:$H$37002,"9999*",'Accounting data'!$I$2:$I$37002,"9*",'Accounting data'!$J$2:$J$37002,"25*",'Accounting data'!$K$2:$K$37002,"64*")</f>
        <v>0</v>
      </c>
    </row>
    <row r="354" spans="1:5" x14ac:dyDescent="0.2">
      <c r="A354" s="524" t="s">
        <v>991</v>
      </c>
      <c r="B354" s="522" t="s">
        <v>992</v>
      </c>
      <c r="C354" s="522">
        <v>2500</v>
      </c>
      <c r="D354" s="522">
        <v>6500</v>
      </c>
      <c r="E354" s="523">
        <f>SUMIFS('Accounting data'!$G$2:$G$37002,'Accounting data'!$H$2:$H$37002,"9999*",'Accounting data'!$I$2:$I$37002,"7*",'Accounting data'!$J$2:$J$37002,"25*",'Accounting data'!$K$2:$K$37002,"65*")+SUMIFS('Accounting data'!$G$2:$G$37002,'Accounting data'!$H$2:$H$37002,"9999*",'Accounting data'!$I$2:$I$37002,"8*",'Accounting data'!$J$2:$J$37002,"25*",'Accounting data'!$K$2:$K$37002,"65*")+SUMIFS('Accounting data'!$G$2:$G$37002,'Accounting data'!$H$2:$H$37002,"9999*",'Accounting data'!$I$2:$I$37002,"9*",'Accounting data'!$J$2:$J$37002,"25*",'Accounting data'!$K$2:$K$37002,"65*")</f>
        <v>0</v>
      </c>
    </row>
    <row r="373" spans="1:5" x14ac:dyDescent="0.2">
      <c r="A373" s="525" t="s">
        <v>1028</v>
      </c>
      <c r="B373" s="525"/>
      <c r="C373" s="525"/>
      <c r="D373" s="525"/>
      <c r="E373" s="527">
        <f>((E347-E348-E349-E350-E351)+(E352+E353+E354+E355+E356+E357+E358+E359+E360))-((E361-E362-E363)+(E364+E365+E366))-((E367-E368-E369)+(E370+E371+E372))</f>
        <v>1245937</v>
      </c>
    </row>
    <row r="374" spans="1:5" x14ac:dyDescent="0.2">
      <c r="A374" s="522" t="s">
        <v>990</v>
      </c>
      <c r="B374" s="522" t="s">
        <v>990</v>
      </c>
      <c r="C374" s="522">
        <v>2900</v>
      </c>
      <c r="D374" s="531" t="s">
        <v>1022</v>
      </c>
      <c r="E374" s="523">
        <f>SUMIFS('Accounting data'!$G$2:$G$37002,'Accounting data'!$J$2:$J$37002,"29*",'Accounting data'!$K$2:$K$37002,"63*")+SUMIFS('Accounting data'!$G$2:$G$37002,'Accounting data'!$J$2:$J$37002,"29*",'Accounting data'!$K$2:$K$37002,"64*")+SUMIFS('Accounting data'!$G$2:$G$37002,'Accounting data'!$J$2:$J$37002,"29*",'Accounting data'!$K$2:$K$37002,"65*")</f>
        <v>0</v>
      </c>
    </row>
    <row r="375" spans="1:5" x14ac:dyDescent="0.2">
      <c r="A375" s="522" t="s">
        <v>991</v>
      </c>
      <c r="B375" s="522" t="s">
        <v>990</v>
      </c>
      <c r="C375" s="522">
        <v>2900</v>
      </c>
      <c r="D375" s="522">
        <v>6300</v>
      </c>
      <c r="E375" s="523">
        <f>SUMIFS('Accounting data'!$G$2:$G$37002,'Accounting data'!$H$2:$H$37002,"9999*",'Accounting data'!$J$2:$J$37002,"29*",'Accounting data'!$K$2:$K$37002,"63*")</f>
        <v>0</v>
      </c>
    </row>
    <row r="376" spans="1:5" x14ac:dyDescent="0.2">
      <c r="A376" s="522" t="s">
        <v>991</v>
      </c>
      <c r="B376" s="522" t="s">
        <v>990</v>
      </c>
      <c r="C376" s="522">
        <v>2900</v>
      </c>
      <c r="D376" s="522">
        <v>6400</v>
      </c>
      <c r="E376" s="523">
        <f>SUMIFS('Accounting data'!$G$2:$G$37002,'Accounting data'!$H$2:$H$37002,"9999*",'Accounting data'!$J$2:$J$37002,"29*",'Accounting data'!$K$2:$K$37002,"64*")</f>
        <v>0</v>
      </c>
    </row>
    <row r="377" spans="1:5" x14ac:dyDescent="0.2">
      <c r="A377" s="522" t="s">
        <v>991</v>
      </c>
      <c r="B377" s="522" t="s">
        <v>990</v>
      </c>
      <c r="C377" s="522">
        <v>2900</v>
      </c>
      <c r="D377" s="522">
        <v>6500</v>
      </c>
      <c r="E377" s="523">
        <f>SUMIFS('Accounting data'!$G$2:$G$37002,'Accounting data'!$H$2:$H$37002,"9999*",'Accounting data'!$J$2:$J$37002,"29*",'Accounting data'!$K$2:$K$37002,"65*")</f>
        <v>0</v>
      </c>
    </row>
    <row r="378" spans="1:5" x14ac:dyDescent="0.2">
      <c r="A378" s="522" t="s">
        <v>990</v>
      </c>
      <c r="B378" s="522" t="s">
        <v>992</v>
      </c>
      <c r="C378" s="522">
        <v>2900</v>
      </c>
      <c r="D378" s="531" t="s">
        <v>1022</v>
      </c>
      <c r="E378" s="523">
        <f>SUMIFS('Accounting data'!$G$2:$G$37002,'Accounting data'!$I$2:$I$37002,"7*",'Accounting data'!$J$2:$J$37002,"29*",'Accounting data'!$K$2:$K$37002,"63*")+SUMIFS('Accounting data'!$G$2:$G$37002,'Accounting data'!$I$2:$I$37002,"8*",'Accounting data'!$J$2:$J$37002,"29*",'Accounting data'!$K$2:$K$37002,"63*")+SUMIFS('Accounting data'!$G$2:$G$37002,'Accounting data'!$I$2:$I$37002,"9*",'Accounting data'!$J$2:$J$37002,"29*",'Accounting data'!$K$2:$K$37002,"63*")+SUMIFS('Accounting data'!$G$2:$G$37002,'Accounting data'!$I$2:$I$37002,"7*",'Accounting data'!$J$2:$J$37002,"29*",'Accounting data'!$K$2:$K$37002,"64*")+SUMIFS('Accounting data'!$G$2:$G$37002,'Accounting data'!$I$2:$I$37002,"8*",'Accounting data'!$J$2:$J$37002,"29*",'Accounting data'!$K$2:$K$37002,"64*")+SUMIFS('Accounting data'!$G$2:$G$37002,'Accounting data'!$I$2:$I$37002,"9*",'Accounting data'!$J$2:$J$37002,"29*",'Accounting data'!$K$2:$K$37002,"64*")+SUMIFS('Accounting data'!$G$2:$G$37002,'Accounting data'!$I$2:$I$37002,"7*",'Accounting data'!$J$2:$J$37002,"29*",'Accounting data'!$K$2:$K$37002,"65*")+SUMIFS('Accounting data'!$G$2:$G$37002,'Accounting data'!$I$2:$I$37002,"8*",'Accounting data'!$J$2:$J$37002,"29*",'Accounting data'!$K$2:$K$37002,"65*")+SUMIFS('Accounting data'!$G$2:$G$37002,'Accounting data'!$I$2:$I$37002,"9*",'Accounting data'!$J$2:$J$37002,"29*",'Accounting data'!$K$2:$K$37002,"65*")</f>
        <v>0</v>
      </c>
    </row>
    <row r="379" spans="1:5" x14ac:dyDescent="0.2">
      <c r="A379" s="524" t="s">
        <v>991</v>
      </c>
      <c r="B379" s="522" t="s">
        <v>992</v>
      </c>
      <c r="C379" s="522">
        <v>2900</v>
      </c>
      <c r="D379" s="522">
        <v>6300</v>
      </c>
      <c r="E379" s="523">
        <f>SUMIFS('Accounting data'!$G$2:$G$37002,'Accounting data'!$H$2:$H$37002,"9999*",'Accounting data'!$I$2:$I$37002,"7*",'Accounting data'!$J$2:$J$37002,"29*",'Accounting data'!$K$2:$K$37002,"63*")+SUMIFS('Accounting data'!$G$2:$G$37002,'Accounting data'!$H$2:$H$37002,"9999*",'Accounting data'!$I$2:$I$37002,"8*",'Accounting data'!$J$2:$J$37002,"29*",'Accounting data'!$K$2:$K$37002,"63*")+SUMIFS('Accounting data'!$G$2:$G$37002,'Accounting data'!$H$2:$H$37002,"9999*",'Accounting data'!$I$2:$I$37002,"9*",'Accounting data'!$J$2:$J$37002,"29*",'Accounting data'!$K$2:$K$37002,"63*")</f>
        <v>0</v>
      </c>
    </row>
    <row r="380" spans="1:5" x14ac:dyDescent="0.2">
      <c r="A380" s="524" t="s">
        <v>991</v>
      </c>
      <c r="B380" s="522" t="s">
        <v>992</v>
      </c>
      <c r="C380" s="522">
        <v>2900</v>
      </c>
      <c r="D380" s="522">
        <v>6400</v>
      </c>
      <c r="E380" s="523">
        <f>SUMIFS('Accounting data'!$G$2:$G$37002,'Accounting data'!$H$2:$H$37002,"9999*",'Accounting data'!$I$2:$I$37002,"7*",'Accounting data'!$J$2:$J$37002,"29*",'Accounting data'!$K$2:$K$37002,"64*")+SUMIFS('Accounting data'!$G$2:$G$37002,'Accounting data'!$H$2:$H$37002,"9999*",'Accounting data'!$I$2:$I$37002,"8*",'Accounting data'!$J$2:$J$37002,"29*",'Accounting data'!$K$2:$K$37002,"64*")+SUMIFS('Accounting data'!$G$2:$G$37002,'Accounting data'!$H$2:$H$37002,"9999*",'Accounting data'!$I$2:$I$37002,"9*",'Accounting data'!$J$2:$J$37002,"29*",'Accounting data'!$K$2:$K$37002,"64*")</f>
        <v>0</v>
      </c>
    </row>
    <row r="381" spans="1:5" x14ac:dyDescent="0.2">
      <c r="A381" s="524" t="s">
        <v>991</v>
      </c>
      <c r="B381" s="522" t="s">
        <v>992</v>
      </c>
      <c r="C381" s="522">
        <v>2900</v>
      </c>
      <c r="D381" s="522">
        <v>6500</v>
      </c>
      <c r="E381" s="523">
        <f>SUMIFS('Accounting data'!$G$2:$G$37002,'Accounting data'!$H$2:$H$37002,"9999*",'Accounting data'!$I$2:$I$37002,"7*",'Accounting data'!$J$2:$J$37002,"29*",'Accounting data'!$K$2:$K$37002,"65*")+SUMIFS('Accounting data'!$G$2:$G$37002,'Accounting data'!$H$2:$H$37002,"9999*",'Accounting data'!$I$2:$I$37002,"8*",'Accounting data'!$J$2:$J$37002,"29*",'Accounting data'!$K$2:$K$37002,"65*")+SUMIFS('Accounting data'!$G$2:$G$37002,'Accounting data'!$H$2:$H$37002,"9999*",'Accounting data'!$I$2:$I$37002,"9*",'Accounting data'!$J$2:$J$37002,"29*",'Accounting data'!$K$2:$K$37002,"65*")</f>
        <v>0</v>
      </c>
    </row>
    <row r="400" spans="1:5" x14ac:dyDescent="0.2">
      <c r="A400" s="525" t="s">
        <v>1029</v>
      </c>
      <c r="B400" s="525"/>
      <c r="C400" s="525"/>
      <c r="D400" s="525"/>
      <c r="E400" s="527">
        <f>((E374-E375-E376-E377-E378)+(E379+E380+E381+E382+E383+E384+E385+E386+E387))-((E388-E389-E390)+(E391+E392+E393))-((E394-E395-E396)+(E397+E398+E399))</f>
        <v>0</v>
      </c>
    </row>
    <row r="401" spans="1:5" x14ac:dyDescent="0.2">
      <c r="A401" s="522" t="s">
        <v>990</v>
      </c>
      <c r="B401" s="522" t="s">
        <v>990</v>
      </c>
      <c r="C401" s="522">
        <v>2600</v>
      </c>
      <c r="D401" s="531" t="s">
        <v>1022</v>
      </c>
      <c r="E401" s="523">
        <f>SUMIFS('Accounting data'!$G$2:$G$37002,'Accounting data'!$J$2:$J$37002,"26*",'Accounting data'!$K$2:$K$37002,"63*")+SUMIFS('Accounting data'!$G$2:$G$37002,'Accounting data'!$J$2:$J$37002,"26*",'Accounting data'!$K$2:$K$37002,"64*")+SUMIFS('Accounting data'!$G$2:$G$37002,'Accounting data'!$J$2:$J$37002,"26*",'Accounting data'!$K$2:$K$37002,"65*")</f>
        <v>865705</v>
      </c>
    </row>
    <row r="402" spans="1:5" x14ac:dyDescent="0.2">
      <c r="A402" s="522" t="s">
        <v>991</v>
      </c>
      <c r="B402" s="522" t="s">
        <v>990</v>
      </c>
      <c r="C402" s="522">
        <v>2600</v>
      </c>
      <c r="D402" s="522">
        <v>6300</v>
      </c>
      <c r="E402" s="523">
        <f>SUMIFS('Accounting data'!$G$2:$G$37002,'Accounting data'!$H$2:$H$37002,"9999*",'Accounting data'!$J$2:$J$37002,"26*",'Accounting data'!$K$2:$K$37002,"63*")</f>
        <v>0</v>
      </c>
    </row>
    <row r="403" spans="1:5" x14ac:dyDescent="0.2">
      <c r="A403" s="522" t="s">
        <v>991</v>
      </c>
      <c r="B403" s="522" t="s">
        <v>990</v>
      </c>
      <c r="C403" s="522">
        <v>2600</v>
      </c>
      <c r="D403" s="522">
        <v>6400</v>
      </c>
      <c r="E403" s="523">
        <f>SUMIFS('Accounting data'!$G$2:$G$37002,'Accounting data'!$H$2:$H$37002,"9999*",'Accounting data'!$J$2:$J$37002,"26*",'Accounting data'!$K$2:$K$37002,"64*")</f>
        <v>0</v>
      </c>
    </row>
    <row r="404" spans="1:5" x14ac:dyDescent="0.2">
      <c r="A404" s="522" t="s">
        <v>991</v>
      </c>
      <c r="B404" s="522" t="s">
        <v>990</v>
      </c>
      <c r="C404" s="522">
        <v>2600</v>
      </c>
      <c r="D404" s="522">
        <v>6500</v>
      </c>
      <c r="E404" s="523">
        <f>SUMIFS('Accounting data'!$G$2:$G$37002,'Accounting data'!$H$2:$H$37002,"9999*",'Accounting data'!$J$2:$J$37002,"26*",'Accounting data'!$K$2:$K$37002,"65*")</f>
        <v>0</v>
      </c>
    </row>
    <row r="405" spans="1:5" x14ac:dyDescent="0.2">
      <c r="A405" s="522" t="s">
        <v>990</v>
      </c>
      <c r="B405" s="522" t="s">
        <v>992</v>
      </c>
      <c r="C405" s="522">
        <v>2600</v>
      </c>
      <c r="D405" s="531" t="s">
        <v>1022</v>
      </c>
      <c r="E405" s="523">
        <f>SUMIFS('Accounting data'!$G$2:$G$37002,'Accounting data'!$I$2:$I$37002,"7*",'Accounting data'!$J$2:$J$37002,"26*",'Accounting data'!$K$2:$K$37002,"63*")+SUMIFS('Accounting data'!$G$2:$G$37002,'Accounting data'!$I$2:$I$37002,"8*",'Accounting data'!$J$2:$J$37002,"26*",'Accounting data'!$K$2:$K$37002,"63*")+SUMIFS('Accounting data'!$G$2:$G$37002,'Accounting data'!$I$2:$I$37002,"9*",'Accounting data'!$J$2:$J$37002,"26*",'Accounting data'!$K$2:$K$37002,"63*")+SUMIFS('Accounting data'!$G$2:$G$37002,'Accounting data'!$I$2:$I$37002,"7*",'Accounting data'!$J$2:$J$37002,"26*",'Accounting data'!$K$2:$K$37002,"64*")+SUMIFS('Accounting data'!$G$2:$G$37002,'Accounting data'!$I$2:$I$37002,"8*",'Accounting data'!$J$2:$J$37002,"26*",'Accounting data'!$K$2:$K$37002,"64*")+SUMIFS('Accounting data'!$G$2:$G$37002,'Accounting data'!$I$2:$I$37002,"9*",'Accounting data'!$J$2:$J$37002,"26*",'Accounting data'!$K$2:$K$37002,"64*")+SUMIFS('Accounting data'!$G$2:$G$37002,'Accounting data'!$I$2:$I$37002,"7*",'Accounting data'!$J$2:$J$37002,"26*",'Accounting data'!$K$2:$K$37002,"65*")+SUMIFS('Accounting data'!$G$2:$G$37002,'Accounting data'!$I$2:$I$37002,"8*",'Accounting data'!$J$2:$J$37002,"26*",'Accounting data'!$K$2:$K$37002,"65*")+SUMIFS('Accounting data'!$G$2:$G$37002,'Accounting data'!$I$2:$I$37002,"9*",'Accounting data'!$J$2:$J$37002,"26*",'Accounting data'!$K$2:$K$37002,"65*")</f>
        <v>0</v>
      </c>
    </row>
    <row r="406" spans="1:5" x14ac:dyDescent="0.2">
      <c r="A406" s="524" t="s">
        <v>991</v>
      </c>
      <c r="B406" s="522" t="s">
        <v>992</v>
      </c>
      <c r="C406" s="522">
        <v>2600</v>
      </c>
      <c r="D406" s="522">
        <v>6300</v>
      </c>
      <c r="E406" s="523">
        <f>SUMIFS('Accounting data'!$G$2:$G$37002,'Accounting data'!$H$2:$H$37002,"9999*",'Accounting data'!$I$2:$I$37002,"7*",'Accounting data'!$J$2:$J$37002,"26*",'Accounting data'!$K$2:$K$37002,"63*")+SUMIFS('Accounting data'!$G$2:$G$37002,'Accounting data'!$H$2:$H$37002,"9999*",'Accounting data'!$I$2:$I$37002,"8*",'Accounting data'!$J$2:$J$37002,"26*",'Accounting data'!$K$2:$K$37002,"63*")+SUMIFS('Accounting data'!$G$2:$G$37002,'Accounting data'!$H$2:$H$37002,"9999*",'Accounting data'!$I$2:$I$37002,"9*",'Accounting data'!$J$2:$J$37002,"26*",'Accounting data'!$K$2:$K$37002,"63*")</f>
        <v>0</v>
      </c>
    </row>
    <row r="407" spans="1:5" x14ac:dyDescent="0.2">
      <c r="A407" s="524" t="s">
        <v>991</v>
      </c>
      <c r="B407" s="522" t="s">
        <v>992</v>
      </c>
      <c r="C407" s="522">
        <v>2600</v>
      </c>
      <c r="D407" s="522">
        <v>6400</v>
      </c>
      <c r="E407" s="523">
        <f>SUMIFS('Accounting data'!$G$2:$G$37002,'Accounting data'!$H$2:$H$37002,"9999*",'Accounting data'!$I$2:$I$37002,"7*",'Accounting data'!$J$2:$J$37002,"26*",'Accounting data'!$K$2:$K$37002,"64*")+SUMIFS('Accounting data'!$G$2:$G$37002,'Accounting data'!$H$2:$H$37002,"9999*",'Accounting data'!$I$2:$I$37002,"8*",'Accounting data'!$J$2:$J$37002,"26*",'Accounting data'!$K$2:$K$37002,"64*")+SUMIFS('Accounting data'!$G$2:$G$37002,'Accounting data'!$H$2:$H$37002,"9999*",'Accounting data'!$I$2:$I$37002,"9*",'Accounting data'!$J$2:$J$37002,"26*",'Accounting data'!$K$2:$K$37002,"64*")</f>
        <v>0</v>
      </c>
    </row>
    <row r="408" spans="1:5" x14ac:dyDescent="0.2">
      <c r="A408" s="524" t="s">
        <v>991</v>
      </c>
      <c r="B408" s="522" t="s">
        <v>992</v>
      </c>
      <c r="C408" s="522">
        <v>2600</v>
      </c>
      <c r="D408" s="522">
        <v>6500</v>
      </c>
      <c r="E408" s="523">
        <f>SUMIFS('Accounting data'!$G$2:$G$37002,'Accounting data'!$H$2:$H$37002,"9999*",'Accounting data'!$I$2:$I$37002,"7*",'Accounting data'!$J$2:$J$37002,"26*",'Accounting data'!$K$2:$K$37002,"65*")+SUMIFS('Accounting data'!$G$2:$G$37002,'Accounting data'!$H$2:$H$37002,"9999*",'Accounting data'!$I$2:$I$37002,"8*",'Accounting data'!$J$2:$J$37002,"26*",'Accounting data'!$K$2:$K$37002,"65*")+SUMIFS('Accounting data'!$G$2:$G$37002,'Accounting data'!$H$2:$H$37002,"9999*",'Accounting data'!$I$2:$I$37002,"9*",'Accounting data'!$J$2:$J$37002,"26*",'Accounting data'!$K$2:$K$37002,"65*")</f>
        <v>0</v>
      </c>
    </row>
    <row r="427" spans="1:5" x14ac:dyDescent="0.2">
      <c r="A427" s="525" t="s">
        <v>1030</v>
      </c>
      <c r="B427" s="525"/>
      <c r="C427" s="525"/>
      <c r="D427" s="525"/>
      <c r="E427" s="527">
        <f>((E401-E402-E403-E404-E405)+(E406+E407+E408+E409+E410+E411+E412+E413+E414))-((E415-E416-E417)+(E418+E419+E420))-((E421-E422-E423)+(E424+E425+E426))</f>
        <v>865705</v>
      </c>
    </row>
    <row r="428" spans="1:5" x14ac:dyDescent="0.2">
      <c r="A428" s="522" t="s">
        <v>990</v>
      </c>
      <c r="B428" s="522" t="s">
        <v>990</v>
      </c>
      <c r="C428" s="522">
        <v>2700</v>
      </c>
      <c r="D428" s="531" t="s">
        <v>1022</v>
      </c>
      <c r="E428" s="523">
        <f>SUMIFS('Accounting data'!$G$2:$G$37002,'Accounting data'!$J$2:$J$37002,"27*",'Accounting data'!$K$2:$K$37002,"63*")+SUMIFS('Accounting data'!$G$2:$G$37002,'Accounting data'!$J$2:$J$37002,"27*",'Accounting data'!$K$2:$K$37002,"64*")+SUMIFS('Accounting data'!$G$2:$G$37002,'Accounting data'!$J$2:$J$37002,"27*",'Accounting data'!$K$2:$K$37002,"65*")</f>
        <v>2024</v>
      </c>
    </row>
    <row r="429" spans="1:5" x14ac:dyDescent="0.2">
      <c r="A429" s="522" t="s">
        <v>991</v>
      </c>
      <c r="B429" s="522" t="s">
        <v>990</v>
      </c>
      <c r="C429" s="522">
        <v>2700</v>
      </c>
      <c r="D429" s="522">
        <v>6300</v>
      </c>
      <c r="E429" s="523">
        <f>SUMIFS('Accounting data'!$G$2:$G$37002,'Accounting data'!$H$2:$H$37002,"9999*",'Accounting data'!$J$2:$J$37002,"27*",'Accounting data'!$K$2:$K$37002,"63*")</f>
        <v>0</v>
      </c>
    </row>
    <row r="430" spans="1:5" x14ac:dyDescent="0.2">
      <c r="A430" s="522" t="s">
        <v>991</v>
      </c>
      <c r="B430" s="522" t="s">
        <v>990</v>
      </c>
      <c r="C430" s="522">
        <v>2700</v>
      </c>
      <c r="D430" s="522">
        <v>6400</v>
      </c>
      <c r="E430" s="523">
        <f>SUMIFS('Accounting data'!$G$2:$G$37002,'Accounting data'!$H$2:$H$37002,"9999*",'Accounting data'!$J$2:$J$37002,"27*",'Accounting data'!$K$2:$K$37002,"64*")</f>
        <v>0</v>
      </c>
    </row>
    <row r="431" spans="1:5" x14ac:dyDescent="0.2">
      <c r="A431" s="522" t="s">
        <v>991</v>
      </c>
      <c r="B431" s="522" t="s">
        <v>990</v>
      </c>
      <c r="C431" s="522">
        <v>2700</v>
      </c>
      <c r="D431" s="522">
        <v>6500</v>
      </c>
      <c r="E431" s="523">
        <f>SUMIFS('Accounting data'!$G$2:$G$37002,'Accounting data'!$H$2:$H$37002,"9999*",'Accounting data'!$J$2:$J$37002,"27*",'Accounting data'!$K$2:$K$37002,"65*")</f>
        <v>0</v>
      </c>
    </row>
    <row r="432" spans="1:5" x14ac:dyDescent="0.2">
      <c r="A432" s="522" t="s">
        <v>990</v>
      </c>
      <c r="B432" s="522" t="s">
        <v>992</v>
      </c>
      <c r="C432" s="522">
        <v>2700</v>
      </c>
      <c r="D432" s="531" t="s">
        <v>1022</v>
      </c>
      <c r="E432" s="523">
        <f>SUMIFS('Accounting data'!$G$2:$G$37002,'Accounting data'!$I$2:$I$37002,"7*",'Accounting data'!$J$2:$J$37002,"27*",'Accounting data'!$K$2:$K$37002,"63*")+SUMIFS('Accounting data'!$G$2:$G$37002,'Accounting data'!$I$2:$I$37002,"8*",'Accounting data'!$J$2:$J$37002,"27*",'Accounting data'!$K$2:$K$37002,"63*")+SUMIFS('Accounting data'!$G$2:$G$37002,'Accounting data'!$I$2:$I$37002,"9*",'Accounting data'!$J$2:$J$37002,"27*",'Accounting data'!$K$2:$K$37002,"63*")+SUMIFS('Accounting data'!$G$2:$G$37002,'Accounting data'!$I$2:$I$37002,"7*",'Accounting data'!$J$2:$J$37002,"27*",'Accounting data'!$K$2:$K$37002,"64*")+SUMIFS('Accounting data'!$G$2:$G$37002,'Accounting data'!$I$2:$I$37002,"8*",'Accounting data'!$J$2:$J$37002,"27*",'Accounting data'!$K$2:$K$37002,"64*")+SUMIFS('Accounting data'!$G$2:$G$37002,'Accounting data'!$I$2:$I$37002,"9*",'Accounting data'!$J$2:$J$37002,"27*",'Accounting data'!$K$2:$K$37002,"64*")+SUMIFS('Accounting data'!$G$2:$G$37002,'Accounting data'!$I$2:$I$37002,"7*",'Accounting data'!$J$2:$J$37002,"27*",'Accounting data'!$K$2:$K$37002,"65*")+SUMIFS('Accounting data'!$G$2:$G$37002,'Accounting data'!$I$2:$I$37002,"8*",'Accounting data'!$J$2:$J$37002,"27*",'Accounting data'!$K$2:$K$37002,"65*")+SUMIFS('Accounting data'!$G$2:$G$37002,'Accounting data'!$I$2:$I$37002,"9*",'Accounting data'!$J$2:$J$37002,"27*",'Accounting data'!$K$2:$K$37002,"65*")</f>
        <v>0</v>
      </c>
    </row>
    <row r="433" spans="1:5" x14ac:dyDescent="0.2">
      <c r="A433" s="524" t="s">
        <v>991</v>
      </c>
      <c r="B433" s="522" t="s">
        <v>992</v>
      </c>
      <c r="C433" s="522">
        <v>2700</v>
      </c>
      <c r="D433" s="522">
        <v>6300</v>
      </c>
      <c r="E433" s="523">
        <f>SUMIFS('Accounting data'!$G$2:$G$37002,'Accounting data'!$H$2:$H$37002,"9999*",'Accounting data'!$I$2:$I$37002,"7*",'Accounting data'!$J$2:$J$37002,"27*",'Accounting data'!$K$2:$K$37002,"63*")+SUMIFS('Accounting data'!$G$2:$G$37002,'Accounting data'!$H$2:$H$37002,"9999*",'Accounting data'!$I$2:$I$37002,"8*",'Accounting data'!$J$2:$J$37002,"27*",'Accounting data'!$K$2:$K$37002,"63*")+SUMIFS('Accounting data'!$G$2:$G$37002,'Accounting data'!$H$2:$H$37002,"9999*",'Accounting data'!$I$2:$I$37002,"9*",'Accounting data'!$J$2:$J$37002,"27*",'Accounting data'!$K$2:$K$37002,"63*")</f>
        <v>0</v>
      </c>
    </row>
    <row r="434" spans="1:5" x14ac:dyDescent="0.2">
      <c r="A434" s="524" t="s">
        <v>991</v>
      </c>
      <c r="B434" s="522" t="s">
        <v>992</v>
      </c>
      <c r="C434" s="522">
        <v>2700</v>
      </c>
      <c r="D434" s="522">
        <v>6400</v>
      </c>
      <c r="E434" s="523">
        <f>SUMIFS('Accounting data'!$G$2:$G$37002,'Accounting data'!$H$2:$H$37002,"9999*",'Accounting data'!$I$2:$I$37002,"7*",'Accounting data'!$J$2:$J$37002,"27*",'Accounting data'!$K$2:$K$37002,"64*")+SUMIFS('Accounting data'!$G$2:$G$37002,'Accounting data'!$H$2:$H$37002,"9999*",'Accounting data'!$I$2:$I$37002,"8*",'Accounting data'!$J$2:$J$37002,"27*",'Accounting data'!$K$2:$K$37002,"64*")+SUMIFS('Accounting data'!$G$2:$G$37002,'Accounting data'!$H$2:$H$37002,"9999*",'Accounting data'!$I$2:$I$37002,"9*",'Accounting data'!$J$2:$J$37002,"27*",'Accounting data'!$K$2:$K$37002,"64*")</f>
        <v>0</v>
      </c>
    </row>
    <row r="435" spans="1:5" x14ac:dyDescent="0.2">
      <c r="A435" s="524" t="s">
        <v>991</v>
      </c>
      <c r="B435" s="522" t="s">
        <v>992</v>
      </c>
      <c r="C435" s="522">
        <v>2700</v>
      </c>
      <c r="D435" s="522">
        <v>6500</v>
      </c>
      <c r="E435" s="523">
        <f>SUMIFS('Accounting data'!$G$2:$G$37002,'Accounting data'!$H$2:$H$37002,"9999*",'Accounting data'!$I$2:$I$37002,"7*",'Accounting data'!$J$2:$J$37002,"27*",'Accounting data'!$K$2:$K$37002,"65*")+SUMIFS('Accounting data'!$G$2:$G$37002,'Accounting data'!$H$2:$H$37002,"9999*",'Accounting data'!$I$2:$I$37002,"8*",'Accounting data'!$J$2:$J$37002,"27*",'Accounting data'!$K$2:$K$37002,"65*")+SUMIFS('Accounting data'!$G$2:$G$37002,'Accounting data'!$H$2:$H$37002,"9999*",'Accounting data'!$I$2:$I$37002,"9*",'Accounting data'!$J$2:$J$37002,"27*",'Accounting data'!$K$2:$K$37002,"65*")</f>
        <v>0</v>
      </c>
    </row>
    <row r="454" spans="1:5" x14ac:dyDescent="0.2">
      <c r="A454" s="525" t="s">
        <v>1031</v>
      </c>
      <c r="B454" s="525"/>
      <c r="C454" s="525"/>
      <c r="D454" s="525"/>
      <c r="E454" s="527">
        <f>((E428-E429-E430-E431-E432)+(E433+E434+E435+E436+E437+E438+E439+E440+E441))-((E442-E443-E444)+(E445+E446+E447))-((E448-E449-E450)+(E451+E452+E453))</f>
        <v>2024</v>
      </c>
    </row>
    <row r="455" spans="1:5" x14ac:dyDescent="0.2">
      <c r="A455" s="522" t="s">
        <v>990</v>
      </c>
      <c r="B455" s="522" t="s">
        <v>990</v>
      </c>
      <c r="C455" s="522">
        <v>3100</v>
      </c>
      <c r="D455" s="531" t="s">
        <v>1022</v>
      </c>
      <c r="E455" s="523">
        <f>SUMIFS('Accounting data'!$G$2:$G$37002,'Accounting data'!$J$2:$J$37002,"31*",'Accounting data'!$K$2:$K$37002,"63*")+SUMIFS('Accounting data'!$G$2:$G$37002,'Accounting data'!$J$2:$J$37002,"31*",'Accounting data'!$K$2:$K$37002,"64*")+SUMIFS('Accounting data'!$G$2:$G$37002,'Accounting data'!$J$2:$J$37002,"31*",'Accounting data'!$K$2:$K$37002,"65*")</f>
        <v>0</v>
      </c>
    </row>
    <row r="456" spans="1:5" x14ac:dyDescent="0.2">
      <c r="A456" s="522" t="s">
        <v>991</v>
      </c>
      <c r="B456" s="522" t="s">
        <v>990</v>
      </c>
      <c r="C456" s="522">
        <v>3100</v>
      </c>
      <c r="D456" s="522">
        <v>6300</v>
      </c>
      <c r="E456" s="523">
        <f>SUMIFS('Accounting data'!$G$2:$G$37002,'Accounting data'!$H$2:$H$37002,"9999*",'Accounting data'!$J$2:$J$37002,"31*",'Accounting data'!$K$2:$K$37002,"63*")</f>
        <v>0</v>
      </c>
    </row>
    <row r="457" spans="1:5" x14ac:dyDescent="0.2">
      <c r="A457" s="522" t="s">
        <v>991</v>
      </c>
      <c r="B457" s="522" t="s">
        <v>990</v>
      </c>
      <c r="C457" s="522">
        <v>3100</v>
      </c>
      <c r="D457" s="522">
        <v>6400</v>
      </c>
      <c r="E457" s="523">
        <f>SUMIFS('Accounting data'!$G$2:$G$37002,'Accounting data'!$H$2:$H$37002,"9999*",'Accounting data'!$J$2:$J$37002,"31*",'Accounting data'!$K$2:$K$37002,"64*")</f>
        <v>0</v>
      </c>
    </row>
    <row r="458" spans="1:5" x14ac:dyDescent="0.2">
      <c r="A458" s="522" t="s">
        <v>991</v>
      </c>
      <c r="B458" s="522" t="s">
        <v>990</v>
      </c>
      <c r="C458" s="522">
        <v>3100</v>
      </c>
      <c r="D458" s="522">
        <v>6500</v>
      </c>
      <c r="E458" s="523">
        <f>SUMIFS('Accounting data'!$G$2:$G$37002,'Accounting data'!$H$2:$H$37002,"9999*",'Accounting data'!$J$2:$J$37002,"31*",'Accounting data'!$K$2:$K$37002,"65*")</f>
        <v>0</v>
      </c>
    </row>
    <row r="459" spans="1:5" x14ac:dyDescent="0.2">
      <c r="A459" s="522" t="s">
        <v>990</v>
      </c>
      <c r="B459" s="522" t="s">
        <v>992</v>
      </c>
      <c r="C459" s="522">
        <v>3100</v>
      </c>
      <c r="D459" s="531" t="s">
        <v>1022</v>
      </c>
      <c r="E459" s="523">
        <f>SUMIFS('Accounting data'!$G$2:$G$37002,'Accounting data'!$I$2:$I$37002,"7*",'Accounting data'!$J$2:$J$37002,"31*",'Accounting data'!$K$2:$K$37002,"63*")+SUMIFS('Accounting data'!$G$2:$G$37002,'Accounting data'!$I$2:$I$37002,"8*",'Accounting data'!$J$2:$J$37002,"31*",'Accounting data'!$K$2:$K$37002,"63*")+SUMIFS('Accounting data'!$G$2:$G$37002,'Accounting data'!$I$2:$I$37002,"9*",'Accounting data'!$J$2:$J$37002,"31*",'Accounting data'!$K$2:$K$37002,"63*")+SUMIFS('Accounting data'!$G$2:$G$37002,'Accounting data'!$I$2:$I$37002,"7*",'Accounting data'!$J$2:$J$37002,"31*",'Accounting data'!$K$2:$K$37002,"64*")+SUMIFS('Accounting data'!$G$2:$G$37002,'Accounting data'!$I$2:$I$37002,"8*",'Accounting data'!$J$2:$J$37002,"31*",'Accounting data'!$K$2:$K$37002,"64*")+SUMIFS('Accounting data'!$G$2:$G$37002,'Accounting data'!$I$2:$I$37002,"9*",'Accounting data'!$J$2:$J$37002,"31*",'Accounting data'!$K$2:$K$37002,"64*")+SUMIFS('Accounting data'!$G$2:$G$37002,'Accounting data'!$I$2:$I$37002,"7*",'Accounting data'!$J$2:$J$37002,"31*",'Accounting data'!$K$2:$K$37002,"65*")+SUMIFS('Accounting data'!$G$2:$G$37002,'Accounting data'!$I$2:$I$37002,"8*",'Accounting data'!$J$2:$J$37002,"31*",'Accounting data'!$K$2:$K$37002,"65*")+SUMIFS('Accounting data'!$G$2:$G$37002,'Accounting data'!$I$2:$I$37002,"9*",'Accounting data'!$J$2:$J$37002,"31*",'Accounting data'!$K$2:$K$37002,"65*")</f>
        <v>0</v>
      </c>
    </row>
    <row r="460" spans="1:5" x14ac:dyDescent="0.2">
      <c r="A460" s="524" t="s">
        <v>991</v>
      </c>
      <c r="B460" s="522" t="s">
        <v>992</v>
      </c>
      <c r="C460" s="522">
        <v>3100</v>
      </c>
      <c r="D460" s="522">
        <v>6300</v>
      </c>
      <c r="E460" s="523">
        <f>SUMIFS('Accounting data'!$G$2:$G$37002,'Accounting data'!$H$2:$H$37002,"9999*",'Accounting data'!$I$2:$I$37002,"7*",'Accounting data'!$J$2:$J$37002,"31*",'Accounting data'!$K$2:$K$37002,"63*")+SUMIFS('Accounting data'!$G$2:$G$37002,'Accounting data'!$H$2:$H$37002,"9999*",'Accounting data'!$I$2:$I$37002,"8*",'Accounting data'!$J$2:$J$37002,"31*",'Accounting data'!$K$2:$K$37002,"63*")+SUMIFS('Accounting data'!$G$2:$G$37002,'Accounting data'!$H$2:$H$37002,"9999*",'Accounting data'!$I$2:$I$37002,"9*",'Accounting data'!$J$2:$J$37002,"31*",'Accounting data'!$K$2:$K$37002,"63*")</f>
        <v>0</v>
      </c>
    </row>
    <row r="461" spans="1:5" x14ac:dyDescent="0.2">
      <c r="A461" s="524" t="s">
        <v>991</v>
      </c>
      <c r="B461" s="522" t="s">
        <v>992</v>
      </c>
      <c r="C461" s="522">
        <v>3100</v>
      </c>
      <c r="D461" s="522">
        <v>6400</v>
      </c>
      <c r="E461" s="523">
        <f>SUMIFS('Accounting data'!$G$2:$G$37002,'Accounting data'!$H$2:$H$37002,"9999*",'Accounting data'!$I$2:$I$37002,"7*",'Accounting data'!$J$2:$J$37002,"31*",'Accounting data'!$K$2:$K$37002,"64*")+SUMIFS('Accounting data'!$G$2:$G$37002,'Accounting data'!$H$2:$H$37002,"9999*",'Accounting data'!$I$2:$I$37002,"8*",'Accounting data'!$J$2:$J$37002,"31*",'Accounting data'!$K$2:$K$37002,"64*")+SUMIFS('Accounting data'!$G$2:$G$37002,'Accounting data'!$H$2:$H$37002,"9999*",'Accounting data'!$I$2:$I$37002,"9*",'Accounting data'!$J$2:$J$37002,"31*",'Accounting data'!$K$2:$K$37002,"64*")</f>
        <v>0</v>
      </c>
    </row>
    <row r="462" spans="1:5" x14ac:dyDescent="0.2">
      <c r="A462" s="524" t="s">
        <v>991</v>
      </c>
      <c r="B462" s="522" t="s">
        <v>992</v>
      </c>
      <c r="C462" s="522">
        <v>3100</v>
      </c>
      <c r="D462" s="522">
        <v>6500</v>
      </c>
      <c r="E462" s="523">
        <f>SUMIFS('Accounting data'!$G$2:$G$37002,'Accounting data'!$H$2:$H$37002,"9999*",'Accounting data'!$I$2:$I$37002,"7*",'Accounting data'!$J$2:$J$37002,"31*",'Accounting data'!$K$2:$K$37002,"65*")+SUMIFS('Accounting data'!$G$2:$G$37002,'Accounting data'!$H$2:$H$37002,"9999*",'Accounting data'!$I$2:$I$37002,"8*",'Accounting data'!$J$2:$J$37002,"31*",'Accounting data'!$K$2:$K$37002,"65*")+SUMIFS('Accounting data'!$G$2:$G$37002,'Accounting data'!$H$2:$H$37002,"9999*",'Accounting data'!$I$2:$I$37002,"9*",'Accounting data'!$J$2:$J$37002,"31*",'Accounting data'!$K$2:$K$37002,"65*")</f>
        <v>0</v>
      </c>
    </row>
    <row r="481" spans="1:5" x14ac:dyDescent="0.2">
      <c r="A481" s="525" t="s">
        <v>1032</v>
      </c>
      <c r="B481" s="525"/>
      <c r="C481" s="525"/>
      <c r="D481" s="525"/>
      <c r="E481" s="527">
        <f>((E455-E456-E457-E458-E459)+(E460+E461+E462+E463+E464+E465+E466+E467+E468))-((E469-E470-E471)+(E472+E473+E474))-((E475-E476-E477)+(E478+E479+E480))</f>
        <v>0</v>
      </c>
    </row>
    <row r="509" spans="1:5" x14ac:dyDescent="0.2">
      <c r="A509" s="522" t="s">
        <v>990</v>
      </c>
      <c r="B509" s="522" t="s">
        <v>990</v>
      </c>
      <c r="C509" s="522">
        <v>3400</v>
      </c>
      <c r="D509" s="531" t="s">
        <v>1022</v>
      </c>
      <c r="E509" s="523">
        <f>SUMIFS('Accounting data'!$G$2:$G$37002,'Accounting data'!$J$2:$J$37002,"34*",'Accounting data'!$K$2:$K$37002,"63*")+SUMIFS('Accounting data'!$G$2:$G$37002,'Accounting data'!$J$2:$J$37002,"34*",'Accounting data'!$K$2:$K$37002,"64*")+SUMIFS('Accounting data'!$G$2:$G$37002,'Accounting data'!$J$2:$J$37002,"34*",'Accounting data'!$K$2:$K$37002,"65*")</f>
        <v>0</v>
      </c>
    </row>
    <row r="510" spans="1:5" x14ac:dyDescent="0.2">
      <c r="A510" s="522" t="s">
        <v>991</v>
      </c>
      <c r="B510" s="522" t="s">
        <v>990</v>
      </c>
      <c r="C510" s="522">
        <v>3400</v>
      </c>
      <c r="D510" s="522">
        <v>6300</v>
      </c>
      <c r="E510" s="523">
        <f>SUMIFS('Accounting data'!$G$2:$G$37002,'Accounting data'!$H$2:$H$37002,"9999*",'Accounting data'!$J$2:$J$37002,"34*",'Accounting data'!$K$2:$K$37002,"63*")</f>
        <v>0</v>
      </c>
    </row>
    <row r="511" spans="1:5" x14ac:dyDescent="0.2">
      <c r="A511" s="522" t="s">
        <v>991</v>
      </c>
      <c r="B511" s="522" t="s">
        <v>990</v>
      </c>
      <c r="C511" s="522">
        <v>3400</v>
      </c>
      <c r="D511" s="522">
        <v>6400</v>
      </c>
      <c r="E511" s="523">
        <f>SUMIFS('Accounting data'!$G$2:$G$37002,'Accounting data'!$H$2:$H$37002,"9999*",'Accounting data'!$J$2:$J$37002,"34*",'Accounting data'!$K$2:$K$37002,"64*")</f>
        <v>0</v>
      </c>
    </row>
    <row r="512" spans="1:5" x14ac:dyDescent="0.2">
      <c r="A512" s="522" t="s">
        <v>991</v>
      </c>
      <c r="B512" s="522" t="s">
        <v>990</v>
      </c>
      <c r="C512" s="522">
        <v>3400</v>
      </c>
      <c r="D512" s="522">
        <v>6500</v>
      </c>
      <c r="E512" s="523">
        <f>SUMIFS('Accounting data'!$G$2:$G$37002,'Accounting data'!$H$2:$H$37002,"9999*",'Accounting data'!$J$2:$J$37002,"34*",'Accounting data'!$K$2:$K$37002,"65*")</f>
        <v>0</v>
      </c>
    </row>
    <row r="513" spans="1:5" x14ac:dyDescent="0.2">
      <c r="A513" s="522" t="s">
        <v>990</v>
      </c>
      <c r="B513" s="522" t="s">
        <v>992</v>
      </c>
      <c r="C513" s="522">
        <v>3400</v>
      </c>
      <c r="D513" s="531" t="s">
        <v>1022</v>
      </c>
      <c r="E513" s="523">
        <f>SUMIFS('Accounting data'!$G$2:$G$37002,'Accounting data'!$I$2:$I$37002,"7*",'Accounting data'!$J$2:$J$37002,"34*",'Accounting data'!$K$2:$K$37002,"63*")+SUMIFS('Accounting data'!$G$2:$G$37002,'Accounting data'!$I$2:$I$37002,"8*",'Accounting data'!$J$2:$J$37002,"34*",'Accounting data'!$K$2:$K$37002,"63*")+SUMIFS('Accounting data'!$G$2:$G$37002,'Accounting data'!$I$2:$I$37002,"9*",'Accounting data'!$J$2:$J$37002,"34*",'Accounting data'!$K$2:$K$37002,"63*")+SUMIFS('Accounting data'!$G$2:$G$37002,'Accounting data'!$I$2:$I$37002,"7*",'Accounting data'!$J$2:$J$37002,"34*",'Accounting data'!$K$2:$K$37002,"64*")+SUMIFS('Accounting data'!$G$2:$G$37002,'Accounting data'!$I$2:$I$37002,"8*",'Accounting data'!$J$2:$J$37002,"34*",'Accounting data'!$K$2:$K$37002,"64*")+SUMIFS('Accounting data'!$G$2:$G$37002,'Accounting data'!$I$2:$I$37002,"9*",'Accounting data'!$J$2:$J$37002,"34*",'Accounting data'!$K$2:$K$37002,"64*")+SUMIFS('Accounting data'!$G$2:$G$37002,'Accounting data'!$I$2:$I$37002,"7*",'Accounting data'!$J$2:$J$37002,"34*",'Accounting data'!$K$2:$K$37002,"65*")+SUMIFS('Accounting data'!$G$2:$G$37002,'Accounting data'!$I$2:$I$37002,"8*",'Accounting data'!$J$2:$J$37002,"34*",'Accounting data'!$K$2:$K$37002,"65*")+SUMIFS('Accounting data'!$G$2:$G$37002,'Accounting data'!$I$2:$I$37002,"9*",'Accounting data'!$J$2:$J$37002,"34*",'Accounting data'!$K$2:$K$37002,"65*")</f>
        <v>0</v>
      </c>
    </row>
    <row r="514" spans="1:5" x14ac:dyDescent="0.2">
      <c r="A514" s="524" t="s">
        <v>991</v>
      </c>
      <c r="B514" s="522" t="s">
        <v>992</v>
      </c>
      <c r="C514" s="522">
        <v>3400</v>
      </c>
      <c r="D514" s="522">
        <v>6300</v>
      </c>
      <c r="E514" s="523">
        <f>SUMIFS('Accounting data'!$G$2:$G$37002,'Accounting data'!$H$2:$H$37002,"9999*",'Accounting data'!$I$2:$I$37002,"7*",'Accounting data'!$J$2:$J$37002,"34*",'Accounting data'!$K$2:$K$37002,"63*")+SUMIFS('Accounting data'!$G$2:$G$37002,'Accounting data'!$H$2:$H$37002,"9999*",'Accounting data'!$I$2:$I$37002,"8*",'Accounting data'!$J$2:$J$37002,"34*",'Accounting data'!$K$2:$K$37002,"63*")+SUMIFS('Accounting data'!$G$2:$G$37002,'Accounting data'!$H$2:$H$37002,"9999*",'Accounting data'!$I$2:$I$37002,"9*",'Accounting data'!$J$2:$J$37002,"34*",'Accounting data'!$K$2:$K$37002,"63*")</f>
        <v>0</v>
      </c>
    </row>
    <row r="515" spans="1:5" x14ac:dyDescent="0.2">
      <c r="A515" s="524" t="s">
        <v>991</v>
      </c>
      <c r="B515" s="522" t="s">
        <v>992</v>
      </c>
      <c r="C515" s="522">
        <v>3400</v>
      </c>
      <c r="D515" s="522">
        <v>6400</v>
      </c>
      <c r="E515" s="523">
        <f>SUMIFS('Accounting data'!$G$2:$G$37002,'Accounting data'!$H$2:$H$37002,"9999*",'Accounting data'!$I$2:$I$37002,"7*",'Accounting data'!$J$2:$J$37002,"34*",'Accounting data'!$K$2:$K$37002,"64*")+SUMIFS('Accounting data'!$G$2:$G$37002,'Accounting data'!$H$2:$H$37002,"9999*",'Accounting data'!$I$2:$I$37002,"8*",'Accounting data'!$J$2:$J$37002,"34*",'Accounting data'!$K$2:$K$37002,"64*")+SUMIFS('Accounting data'!$G$2:$G$37002,'Accounting data'!$H$2:$H$37002,"9999*",'Accounting data'!$I$2:$I$37002,"9*",'Accounting data'!$J$2:$J$37002,"34*",'Accounting data'!$K$2:$K$37002,"64*")</f>
        <v>0</v>
      </c>
    </row>
    <row r="516" spans="1:5" x14ac:dyDescent="0.2">
      <c r="A516" s="524" t="s">
        <v>991</v>
      </c>
      <c r="B516" s="522" t="s">
        <v>992</v>
      </c>
      <c r="C516" s="522">
        <v>3400</v>
      </c>
      <c r="D516" s="522">
        <v>6500</v>
      </c>
      <c r="E516" s="523">
        <f>SUMIFS('Accounting data'!$G$2:$G$37002,'Accounting data'!$H$2:$H$37002,"9999*",'Accounting data'!$I$2:$I$37002,"7*",'Accounting data'!$J$2:$J$37002,"34*",'Accounting data'!$K$2:$K$37002,"65*")+SUMIFS('Accounting data'!$G$2:$G$37002,'Accounting data'!$H$2:$H$37002,"9999*",'Accounting data'!$I$2:$I$37002,"8*",'Accounting data'!$J$2:$J$37002,"34*",'Accounting data'!$K$2:$K$37002,"65*")+SUMIFS('Accounting data'!$G$2:$G$37002,'Accounting data'!$H$2:$H$37002,"9999*",'Accounting data'!$I$2:$I$37002,"9*",'Accounting data'!$J$2:$J$37002,"34*",'Accounting data'!$K$2:$K$37002,"65*")</f>
        <v>0</v>
      </c>
    </row>
    <row r="535" spans="1:5" x14ac:dyDescent="0.2">
      <c r="A535" s="525" t="s">
        <v>1033</v>
      </c>
      <c r="B535" s="525"/>
      <c r="C535" s="525"/>
      <c r="D535" s="525"/>
      <c r="E535" s="527">
        <f>((E509-E510-E511-E512-E513)+(E514+E515+E516+E517+E518+E519+E520+E521+E522))-((E523-E524-E525)+(E526+E527+E528))-((E529-E530-E531)+(E532+E533+E534))</f>
        <v>0</v>
      </c>
    </row>
    <row r="536" spans="1:5" x14ac:dyDescent="0.2">
      <c r="A536" s="522" t="s">
        <v>990</v>
      </c>
      <c r="B536" s="522" t="s">
        <v>990</v>
      </c>
      <c r="C536" s="522">
        <v>4000</v>
      </c>
      <c r="D536" s="531" t="s">
        <v>1022</v>
      </c>
      <c r="E536" s="523">
        <f>SUMIFS('Accounting data'!$G$2:$G$37002,'Accounting data'!$J$2:$J$37002,"4*",'Accounting data'!$K$2:$K$37002,"63*")+SUMIFS('Accounting data'!$G$2:$G$37002,'Accounting data'!$J$2:$J$37002,"4*",'Accounting data'!$K$2:$K$37002,"64*")+SUMIFS('Accounting data'!$G$2:$G$37002,'Accounting data'!$J$2:$J$37002,"4*",'Accounting data'!$K$2:$K$37002,"65*")</f>
        <v>0</v>
      </c>
    </row>
    <row r="537" spans="1:5" x14ac:dyDescent="0.2">
      <c r="A537" s="522" t="s">
        <v>991</v>
      </c>
      <c r="B537" s="522" t="s">
        <v>990</v>
      </c>
      <c r="C537" s="522">
        <v>4000</v>
      </c>
      <c r="D537" s="522">
        <v>6300</v>
      </c>
      <c r="E537" s="523">
        <f>SUMIFS('Accounting data'!$G$2:$G$37002,'Accounting data'!$H$2:$H$37002,"9999*",'Accounting data'!$J$2:$J$37002,"4*",'Accounting data'!$K$2:$K$37002,"63*")</f>
        <v>0</v>
      </c>
    </row>
    <row r="538" spans="1:5" x14ac:dyDescent="0.2">
      <c r="A538" s="522" t="s">
        <v>991</v>
      </c>
      <c r="B538" s="522" t="s">
        <v>990</v>
      </c>
      <c r="C538" s="522">
        <v>4000</v>
      </c>
      <c r="D538" s="522">
        <v>6400</v>
      </c>
      <c r="E538" s="523">
        <f>SUMIFS('Accounting data'!$G$2:$G$37002,'Accounting data'!$H$2:$H$37002,"9999*",'Accounting data'!$J$2:$J$37002,"4*",'Accounting data'!$K$2:$K$37002,"64*")</f>
        <v>0</v>
      </c>
    </row>
    <row r="539" spans="1:5" x14ac:dyDescent="0.2">
      <c r="A539" s="522" t="s">
        <v>991</v>
      </c>
      <c r="B539" s="522" t="s">
        <v>990</v>
      </c>
      <c r="C539" s="522">
        <v>4000</v>
      </c>
      <c r="D539" s="522">
        <v>6500</v>
      </c>
      <c r="E539" s="523">
        <f>SUMIFS('Accounting data'!$G$2:$G$37002,'Accounting data'!$H$2:$H$37002,"9999*",'Accounting data'!$J$2:$J$37002,"4*",'Accounting data'!$K$2:$K$37002,"65*")</f>
        <v>0</v>
      </c>
    </row>
    <row r="540" spans="1:5" x14ac:dyDescent="0.2">
      <c r="A540" s="522" t="s">
        <v>990</v>
      </c>
      <c r="B540" s="522" t="s">
        <v>992</v>
      </c>
      <c r="C540" s="522">
        <v>4000</v>
      </c>
      <c r="D540" s="531" t="s">
        <v>1022</v>
      </c>
      <c r="E540" s="523">
        <f>SUMIFS('Accounting data'!$G$2:$G$37002,'Accounting data'!$I$2:$I$37002,"7*",'Accounting data'!$J$2:$J$37002,"4*",'Accounting data'!$K$2:$K$37002,"63*")+SUMIFS('Accounting data'!$G$2:$G$37002,'Accounting data'!$I$2:$I$37002,"8*",'Accounting data'!$J$2:$J$37002,"4*",'Accounting data'!$K$2:$K$37002,"63*")+SUMIFS('Accounting data'!$G$2:$G$37002,'Accounting data'!$I$2:$I$37002,"9*",'Accounting data'!$J$2:$J$37002,"4*",'Accounting data'!$K$2:$K$37002,"63*")+SUMIFS('Accounting data'!$G$2:$G$37002,'Accounting data'!$I$2:$I$37002,"7*",'Accounting data'!$J$2:$J$37002,"4*",'Accounting data'!$K$2:$K$37002,"64*")+SUMIFS('Accounting data'!$G$2:$G$37002,'Accounting data'!$I$2:$I$37002,"8*",'Accounting data'!$J$2:$J$37002,"4*",'Accounting data'!$K$2:$K$37002,"64*")+SUMIFS('Accounting data'!$G$2:$G$37002,'Accounting data'!$I$2:$I$37002,"9*",'Accounting data'!$J$2:$J$37002,"4*",'Accounting data'!$K$2:$K$37002,"64*")+SUMIFS('Accounting data'!$G$2:$G$37002,'Accounting data'!$I$2:$I$37002,"7*",'Accounting data'!$J$2:$J$37002,"4*",'Accounting data'!$K$2:$K$37002,"65*")+SUMIFS('Accounting data'!$G$2:$G$37002,'Accounting data'!$I$2:$I$37002,"8*",'Accounting data'!$J$2:$J$37002,"4*",'Accounting data'!$K$2:$K$37002,"65*")+SUMIFS('Accounting data'!$G$2:$G$37002,'Accounting data'!$I$2:$I$37002,"9*",'Accounting data'!$J$2:$J$37002,"4*",'Accounting data'!$K$2:$K$37002,"65*")</f>
        <v>0</v>
      </c>
    </row>
    <row r="541" spans="1:5" x14ac:dyDescent="0.2">
      <c r="A541" s="524" t="s">
        <v>991</v>
      </c>
      <c r="B541" s="522" t="s">
        <v>992</v>
      </c>
      <c r="C541" s="522">
        <v>4000</v>
      </c>
      <c r="D541" s="522">
        <v>6300</v>
      </c>
      <c r="E541" s="523">
        <f>SUMIFS('Accounting data'!$G$2:$G$37002,'Accounting data'!$H$2:$H$37002,"9999*",'Accounting data'!$I$2:$I$37002,"7*",'Accounting data'!$J$2:$J$37002,"4*",'Accounting data'!$K$2:$K$37002,"63*")+SUMIFS('Accounting data'!$G$2:$G$37002,'Accounting data'!$H$2:$H$37002,"9999*",'Accounting data'!$I$2:$I$37002,"8*",'Accounting data'!$J$2:$J$37002,"4*",'Accounting data'!$K$2:$K$37002,"63*")+SUMIFS('Accounting data'!$G$2:$G$37002,'Accounting data'!$H$2:$H$37002,"9999*",'Accounting data'!$I$2:$I$37002,"9*",'Accounting data'!$J$2:$J$37002,"4*",'Accounting data'!$K$2:$K$37002,"63*")</f>
        <v>0</v>
      </c>
    </row>
    <row r="542" spans="1:5" x14ac:dyDescent="0.2">
      <c r="A542" s="524" t="s">
        <v>991</v>
      </c>
      <c r="B542" s="522" t="s">
        <v>992</v>
      </c>
      <c r="C542" s="522">
        <v>4000</v>
      </c>
      <c r="D542" s="522">
        <v>6400</v>
      </c>
      <c r="E542" s="523">
        <f>SUMIFS('Accounting data'!$G$2:$G$37002,'Accounting data'!$H$2:$H$37002,"9999*",'Accounting data'!$I$2:$I$37002,"7*",'Accounting data'!$J$2:$J$37002,"4*",'Accounting data'!$K$2:$K$37002,"64*")+SUMIFS('Accounting data'!$G$2:$G$37002,'Accounting data'!$H$2:$H$37002,"9999*",'Accounting data'!$I$2:$I$37002,"8*",'Accounting data'!$J$2:$J$37002,"4*",'Accounting data'!$K$2:$K$37002,"64*")+SUMIFS('Accounting data'!$G$2:$G$37002,'Accounting data'!$H$2:$H$37002,"9999*",'Accounting data'!$I$2:$I$37002,"9*",'Accounting data'!$J$2:$J$37002,"4*",'Accounting data'!$K$2:$K$37002,"64*")</f>
        <v>0</v>
      </c>
    </row>
    <row r="543" spans="1:5" x14ac:dyDescent="0.2">
      <c r="A543" s="524" t="s">
        <v>991</v>
      </c>
      <c r="B543" s="522" t="s">
        <v>992</v>
      </c>
      <c r="C543" s="522">
        <v>4000</v>
      </c>
      <c r="D543" s="522">
        <v>6500</v>
      </c>
      <c r="E543" s="523">
        <f>SUMIFS('Accounting data'!$G$2:$G$37002,'Accounting data'!$H$2:$H$37002,"9999*",'Accounting data'!$I$2:$I$37002,"7*",'Accounting data'!$J$2:$J$37002,"4*",'Accounting data'!$K$2:$K$37002,"65*")+SUMIFS('Accounting data'!$G$2:$G$37002,'Accounting data'!$H$2:$H$37002,"9999*",'Accounting data'!$I$2:$I$37002,"8*",'Accounting data'!$J$2:$J$37002,"4*",'Accounting data'!$K$2:$K$37002,"65*")+SUMIFS('Accounting data'!$G$2:$G$37002,'Accounting data'!$H$2:$H$37002,"9999*",'Accounting data'!$I$2:$I$37002,"9*",'Accounting data'!$J$2:$J$37002,"4*",'Accounting data'!$K$2:$K$37002,"65*")</f>
        <v>0</v>
      </c>
    </row>
    <row r="562" spans="1:5" x14ac:dyDescent="0.2">
      <c r="A562" s="525" t="s">
        <v>1034</v>
      </c>
      <c r="B562" s="525"/>
      <c r="C562" s="525"/>
      <c r="D562" s="525"/>
      <c r="E562" s="527">
        <f>((E536-E537-E538-E539-E540)+(E541+E542+E543+E544+E545+E546+E547+E548+E549))-((E550-E551-E552)+(E553+E554+E555))-((E556-E557-E558)+(E559+E560+E561))</f>
        <v>0</v>
      </c>
    </row>
    <row r="563" spans="1:5" x14ac:dyDescent="0.2">
      <c r="A563" s="528" t="s">
        <v>1035</v>
      </c>
      <c r="B563" s="528"/>
      <c r="C563" s="528"/>
      <c r="D563" s="528"/>
      <c r="E563" s="532">
        <f>E238+E265+E292+E319+E346+E373+E400+E427+E454+E481+E508+E535</f>
        <v>3147557</v>
      </c>
    </row>
    <row r="564" spans="1:5" ht="15" x14ac:dyDescent="0.25">
      <c r="A564" s="522" t="s">
        <v>1006</v>
      </c>
      <c r="B564" s="522" t="s">
        <v>990</v>
      </c>
      <c r="C564" s="522">
        <v>1000</v>
      </c>
      <c r="D564" s="522">
        <v>6300</v>
      </c>
      <c r="E564" s="530">
        <f>SUMIFS('Accounting data'!$G$2:$G$37002,'Accounting data'!$H$2:$H$37002,"11*",'Accounting data'!$J$2:$J$37002,"1*",'Accounting data'!$K$2:$K$37002,"63*")+SUMIFS('Accounting data'!$G$2:$G$37002,'Accounting data'!$H$2:$H$37002,"12*",'Accounting data'!$J$2:$J$37002,"1*",'Accounting data'!$K$2:$K$37002,"63*")+SUMIFS('Accounting data'!$G$2:$G$37002,'Accounting data'!$H$2:$H$37002,"13*",'Accounting data'!$J$2:$J$37002,"1*",'Accounting data'!$K$2:$K$37002,"63*")</f>
        <v>0</v>
      </c>
    </row>
    <row r="565" spans="1:5" ht="15" x14ac:dyDescent="0.25">
      <c r="A565" s="522" t="s">
        <v>1006</v>
      </c>
      <c r="B565" s="522" t="s">
        <v>990</v>
      </c>
      <c r="C565" s="522">
        <v>2000</v>
      </c>
      <c r="D565" s="522">
        <v>6300</v>
      </c>
      <c r="E565" s="530">
        <f>SUMIFS('Accounting data'!$G$2:$G$37002,'Accounting data'!$H$2:$H$37002,"11*",'Accounting data'!$J$2:$J$37002,"2*",'Accounting data'!$K$2:$K$37002,"63*")+SUMIFS('Accounting data'!$G$2:$G$37002,'Accounting data'!$H$2:$H$37002,"12*",'Accounting data'!$J$2:$J$37002,"2*",'Accounting data'!$K$2:$K$37002,"63*")+SUMIFS('Accounting data'!$G$2:$G$37002,'Accounting data'!$H$2:$H$37002,"13*",'Accounting data'!$J$2:$J$37002,"2*",'Accounting data'!$K$2:$K$37002,"63*")</f>
        <v>0</v>
      </c>
    </row>
    <row r="566" spans="1:5" ht="15" x14ac:dyDescent="0.25">
      <c r="A566" s="522" t="s">
        <v>1006</v>
      </c>
      <c r="B566" s="522" t="s">
        <v>990</v>
      </c>
      <c r="C566" s="522">
        <v>3000</v>
      </c>
      <c r="D566" s="522">
        <v>6300</v>
      </c>
      <c r="E566" s="530">
        <f>SUMIFS('Accounting data'!$G$2:$G$37002,'Accounting data'!$H$2:$H$37002,"11*",'Accounting data'!$J$2:$J$37002,"3*",'Accounting data'!$K$2:$K$37002,"63*")+SUMIFS('Accounting data'!$G$2:$G$37002,'Accounting data'!$H$2:$H$37002,"12*",'Accounting data'!$J$2:$J$37002,"3*",'Accounting data'!$K$2:$K$37002,"63*")+SUMIFS('Accounting data'!$G$2:$G$37002,'Accounting data'!$H$2:$H$37002,"13*",'Accounting data'!$J$2:$J$37002,"3*",'Accounting data'!$K$2:$K$37002,"63*")</f>
        <v>0</v>
      </c>
    </row>
    <row r="567" spans="1:5" ht="15" x14ac:dyDescent="0.25">
      <c r="A567" s="522" t="s">
        <v>1006</v>
      </c>
      <c r="B567" s="524">
        <v>700</v>
      </c>
      <c r="C567" s="522">
        <v>1000</v>
      </c>
      <c r="D567" s="522">
        <v>6300</v>
      </c>
      <c r="E567" s="530">
        <f>SUMIFS('Accounting data'!$G$2:$G$37002,'Accounting data'!$H$2:$H$37002,"11*",'Accounting data'!$I$2:$I$37002,"7*",'Accounting data'!$J$2:$J$37002,"1*",'Accounting data'!$K$2:$K$37002,"63*")+SUMIFS('Accounting data'!$G$2:$G$37002,'Accounting data'!$H$2:$H$37002,"12*",'Accounting data'!$I$2:$I$37002,"7*",'Accounting data'!$J$2:$J$37002,"1*",'Accounting data'!$K$2:$K$37002,"63*")+SUMIFS('Accounting data'!$G$2:$G$37002,'Accounting data'!$H$2:$H$37002,"13*",'Accounting data'!$I$2:$I$37002,"7*",'Accounting data'!$J$2:$J$37002,"1*",'Accounting data'!$K$2:$K$37002,"63*")</f>
        <v>0</v>
      </c>
    </row>
    <row r="568" spans="1:5" ht="15" x14ac:dyDescent="0.25">
      <c r="A568" s="522" t="s">
        <v>1006</v>
      </c>
      <c r="B568" s="524">
        <v>800</v>
      </c>
      <c r="C568" s="522">
        <v>1000</v>
      </c>
      <c r="D568" s="522">
        <v>6300</v>
      </c>
      <c r="E568" s="530">
        <f>SUMIFS('Accounting data'!$G$2:$G$37002,'Accounting data'!$H$2:$H$37002,"11*",'Accounting data'!$I$2:$I$37002,"8*",'Accounting data'!$J$2:$J$37002,"1*",'Accounting data'!$K$2:$K$37002,"63*")+SUMIFS('Accounting data'!$G$2:$G$37002,'Accounting data'!$H$2:$H$37002,"12*",'Accounting data'!$I$2:$I$37002,"8*",'Accounting data'!$J$2:$J$37002,"1*",'Accounting data'!$K$2:$K$37002,"63*")+SUMIFS('Accounting data'!$G$2:$G$37002,'Accounting data'!$H$2:$H$37002,"13*",'Accounting data'!$I$2:$I$37002,"8*",'Accounting data'!$J$2:$J$37002,"1*",'Accounting data'!$K$2:$K$37002,"63*")</f>
        <v>0</v>
      </c>
    </row>
    <row r="569" spans="1:5" ht="15" x14ac:dyDescent="0.25">
      <c r="A569" s="522" t="s">
        <v>1006</v>
      </c>
      <c r="B569" s="524">
        <v>900</v>
      </c>
      <c r="C569" s="522">
        <v>1000</v>
      </c>
      <c r="D569" s="522">
        <v>6300</v>
      </c>
      <c r="E569" s="530">
        <f>SUMIFS('Accounting data'!$G$2:$G$37002,'Accounting data'!$H$2:$H$37002,"11*",'Accounting data'!$I$2:$I$37002,"9*",'Accounting data'!$J$2:$J$37002,"1*",'Accounting data'!$K$2:$K$37002,"63*")+SUMIFS('Accounting data'!$G$2:$G$37002,'Accounting data'!$H$2:$H$37002,"12*",'Accounting data'!$I$2:$I$37002,"9*",'Accounting data'!$J$2:$J$37002,"1*",'Accounting data'!$K$2:$K$37002,"63*")+SUMIFS('Accounting data'!$G$2:$G$37002,'Accounting data'!$H$2:$H$37002,"13*",'Accounting data'!$I$2:$I$37002,"9*",'Accounting data'!$J$2:$J$37002,"1*",'Accounting data'!$K$2:$K$37002,"63*")</f>
        <v>0</v>
      </c>
    </row>
    <row r="570" spans="1:5" x14ac:dyDescent="0.2">
      <c r="A570" s="522" t="s">
        <v>1006</v>
      </c>
      <c r="B570" s="524">
        <v>700</v>
      </c>
      <c r="C570" s="522">
        <v>2000</v>
      </c>
      <c r="D570" s="522">
        <v>6300</v>
      </c>
      <c r="E570" s="523">
        <f>SUMIFS('Accounting data'!$G$2:$G$37002,'Accounting data'!$H$2:$H$37002,"11*",'Accounting data'!$I$2:$I$37002,"7*",'Accounting data'!$J$2:$J$37002,"2*",'Accounting data'!$K$2:$K$37002,"63*")+SUMIFS('Accounting data'!$G$2:$G$37002,'Accounting data'!$H$2:$H$37002,"12*",'Accounting data'!$I$2:$I$37002,"7*",'Accounting data'!$J$2:$J$37002,"2*",'Accounting data'!$K$2:$K$37002,"63*")+SUMIFS('Accounting data'!$G$2:$G$37002,'Accounting data'!$H$2:$H$37002,"13*",'Accounting data'!$I$2:$I$37002,"7*",'Accounting data'!$J$2:$J$37002,"2*",'Accounting data'!$K$2:$K$37002,"63*")</f>
        <v>0</v>
      </c>
    </row>
    <row r="571" spans="1:5" x14ac:dyDescent="0.2">
      <c r="A571" s="522" t="s">
        <v>1006</v>
      </c>
      <c r="B571" s="524">
        <v>800</v>
      </c>
      <c r="C571" s="522">
        <v>2000</v>
      </c>
      <c r="D571" s="522">
        <v>6300</v>
      </c>
      <c r="E571" s="523">
        <f>SUMIFS('Accounting data'!$G$2:$G$37002,'Accounting data'!$H$2:$H$37002,"11*",'Accounting data'!$I$2:$I$37002,"8*",'Accounting data'!$J$2:$J$37002,"2*",'Accounting data'!$K$2:$K$37002,"63*")+SUMIFS('Accounting data'!$G$2:$G$37002,'Accounting data'!$H$2:$H$37002,"12*",'Accounting data'!$I$2:$I$37002,"8*",'Accounting data'!$J$2:$J$37002,"2*",'Accounting data'!$K$2:$K$37002,"63*")+SUMIFS('Accounting data'!$G$2:$G$37002,'Accounting data'!$H$2:$H$37002,"13*",'Accounting data'!$I$2:$I$37002,"8*",'Accounting data'!$J$2:$J$37002,"2*",'Accounting data'!$K$2:$K$37002,"63*")</f>
        <v>0</v>
      </c>
    </row>
    <row r="572" spans="1:5" x14ac:dyDescent="0.2">
      <c r="A572" s="522" t="s">
        <v>1006</v>
      </c>
      <c r="B572" s="524">
        <v>900</v>
      </c>
      <c r="C572" s="522">
        <v>2000</v>
      </c>
      <c r="D572" s="522">
        <v>6300</v>
      </c>
      <c r="E572" s="523">
        <f>SUMIFS('Accounting data'!$G$2:$G$37002,'Accounting data'!$H$2:$H$37002,"11*",'Accounting data'!$I$2:$I$37002,"9*",'Accounting data'!$J$2:$J$37002,"2*",'Accounting data'!$K$2:$K$37002,"63*")+SUMIFS('Accounting data'!$G$2:$G$37002,'Accounting data'!$H$2:$H$37002,"12*",'Accounting data'!$I$2:$I$37002,"9*",'Accounting data'!$J$2:$J$37002,"2*",'Accounting data'!$K$2:$K$37002,"63*")+SUMIFS('Accounting data'!$G$2:$G$37002,'Accounting data'!$H$2:$H$37002,"13*",'Accounting data'!$I$2:$I$37002,"9*",'Accounting data'!$J$2:$J$37002,"2*",'Accounting data'!$K$2:$K$37002,"63*")</f>
        <v>0</v>
      </c>
    </row>
    <row r="573" spans="1:5" x14ac:dyDescent="0.2">
      <c r="A573" s="522" t="s">
        <v>1006</v>
      </c>
      <c r="B573" s="524">
        <v>700</v>
      </c>
      <c r="C573" s="522">
        <v>3000</v>
      </c>
      <c r="D573" s="522">
        <v>6300</v>
      </c>
      <c r="E573" s="523">
        <f>SUMIFS('Accounting data'!$G$2:$G$37002,'Accounting data'!$H$2:$H$37002,"11*",'Accounting data'!$I$2:$I$37002,"7*",'Accounting data'!$J$2:$J$37002,"3*",'Accounting data'!$K$2:$K$37002,"63*")+SUMIFS('Accounting data'!$G$2:$G$37002,'Accounting data'!$H$2:$H$37002,"12*",'Accounting data'!$I$2:$I$37002,"7*",'Accounting data'!$J$2:$J$37002,"3*",'Accounting data'!$K$2:$K$37002,"63*")+SUMIFS('Accounting data'!$G$2:$G$37002,'Accounting data'!$H$2:$H$37002,"13*",'Accounting data'!$I$2:$I$37002,"7*",'Accounting data'!$J$2:$J$37002,"3*",'Accounting data'!$K$2:$K$37002,"63*")</f>
        <v>0</v>
      </c>
    </row>
    <row r="574" spans="1:5" x14ac:dyDescent="0.2">
      <c r="A574" s="522" t="s">
        <v>1006</v>
      </c>
      <c r="B574" s="524">
        <v>800</v>
      </c>
      <c r="C574" s="522">
        <v>3000</v>
      </c>
      <c r="D574" s="522">
        <v>6300</v>
      </c>
      <c r="E574" s="523">
        <f>SUMIFS('Accounting data'!$G$2:$G$37002,'Accounting data'!$H$2:$H$37002,"11*",'Accounting data'!$I$2:$I$37002,"8*",'Accounting data'!$J$2:$J$37002,"3*",'Accounting data'!$K$2:$K$37002,"63*")+SUMIFS('Accounting data'!$G$2:$G$37002,'Accounting data'!$H$2:$H$37002,"12*",'Accounting data'!$I$2:$I$37002,"8*",'Accounting data'!$J$2:$J$37002,"3*",'Accounting data'!$K$2:$K$37002,"63*")+SUMIFS('Accounting data'!$G$2:$G$37002,'Accounting data'!$H$2:$H$37002,"13*",'Accounting data'!$I$2:$I$37002,"8*",'Accounting data'!$J$2:$J$37002,"3*",'Accounting data'!$K$2:$K$37002,"63*")</f>
        <v>0</v>
      </c>
    </row>
    <row r="575" spans="1:5" x14ac:dyDescent="0.2">
      <c r="A575" s="522" t="s">
        <v>1006</v>
      </c>
      <c r="B575" s="524">
        <v>900</v>
      </c>
      <c r="C575" s="522">
        <v>3000</v>
      </c>
      <c r="D575" s="522">
        <v>6300</v>
      </c>
      <c r="E575" s="523">
        <f>SUMIFS('Accounting data'!$G$2:$G$37002,'Accounting data'!$H$2:$H$37002,"11*",'Accounting data'!$I$2:$I$37002,"9*",'Accounting data'!$J$2:$J$37002,"3*",'Accounting data'!$K$2:$K$37002,"63*")+SUMIFS('Accounting data'!$G$2:$G$37002,'Accounting data'!$H$2:$H$37002,"12*",'Accounting data'!$I$2:$I$37002,"9*",'Accounting data'!$J$2:$J$37002,"3*",'Accounting data'!$K$2:$K$37002,"63*")+SUMIFS('Accounting data'!$G$2:$G$37002,'Accounting data'!$H$2:$H$37002,"13*",'Accounting data'!$I$2:$I$37002,"9*",'Accounting data'!$J$2:$J$37002,"3*",'Accounting data'!$K$2:$K$37002,"63*")</f>
        <v>0</v>
      </c>
    </row>
    <row r="576" spans="1:5" x14ac:dyDescent="0.2">
      <c r="A576" s="525" t="s">
        <v>1036</v>
      </c>
      <c r="B576" s="525"/>
      <c r="C576" s="525"/>
      <c r="D576" s="525"/>
      <c r="E576" s="527">
        <f>(E564+E565+E566)-(E567+E568+E569+E570+E571+E572+E573+E574+E575)</f>
        <v>0</v>
      </c>
    </row>
    <row r="577" spans="1:5" x14ac:dyDescent="0.2">
      <c r="A577" s="522" t="s">
        <v>1006</v>
      </c>
      <c r="B577" s="522" t="s">
        <v>990</v>
      </c>
      <c r="C577" s="522">
        <v>1000</v>
      </c>
      <c r="D577" s="522">
        <v>6400</v>
      </c>
      <c r="E577" s="523">
        <f>SUMIFS('Accounting data'!$G$2:$G$37002,'Accounting data'!$H$2:$H$37002,"11*",'Accounting data'!$J$2:$J$37002,"1*",'Accounting data'!$K$2:$K$37002,"64*")+SUMIFS('Accounting data'!$G$2:$G$37002,'Accounting data'!$H$2:$H$37002,"12*",'Accounting data'!$J$2:$J$37002,"1*",'Accounting data'!$K$2:$K$37002,"64*")+SUMIFS('Accounting data'!$G$2:$G$37002,'Accounting data'!$H$2:$H$37002,"13*",'Accounting data'!$J$2:$J$37002,"1*",'Accounting data'!$K$2:$K$37002,"64*")</f>
        <v>0</v>
      </c>
    </row>
    <row r="578" spans="1:5" x14ac:dyDescent="0.2">
      <c r="A578" s="522" t="s">
        <v>1006</v>
      </c>
      <c r="B578" s="522" t="s">
        <v>990</v>
      </c>
      <c r="C578" s="522">
        <v>2000</v>
      </c>
      <c r="D578" s="522">
        <v>6400</v>
      </c>
      <c r="E578" s="523">
        <f>SUMIFS('Accounting data'!$G$2:$G$37002,'Accounting data'!$H$2:$H$37002,"11*",'Accounting data'!$J$2:$J$37002,"2*",'Accounting data'!$K$2:$K$37002,"64*")+SUMIFS('Accounting data'!$G$2:$G$37002,'Accounting data'!$H$2:$H$37002,"12*",'Accounting data'!$J$2:$J$37002,"2*",'Accounting data'!$K$2:$K$37002,"64*")+SUMIFS('Accounting data'!$G$2:$G$37002,'Accounting data'!$H$2:$H$37002,"13*",'Accounting data'!$J$2:$J$37002,"2*",'Accounting data'!$K$2:$K$37002,"64*")</f>
        <v>0</v>
      </c>
    </row>
    <row r="579" spans="1:5" x14ac:dyDescent="0.2">
      <c r="A579" s="522" t="s">
        <v>1006</v>
      </c>
      <c r="B579" s="522" t="s">
        <v>990</v>
      </c>
      <c r="C579" s="522">
        <v>3000</v>
      </c>
      <c r="D579" s="522">
        <v>6400</v>
      </c>
      <c r="E579" s="523">
        <f>SUMIFS('Accounting data'!$G$2:$G$37002,'Accounting data'!$H$2:$H$37002,"11*",'Accounting data'!$J$2:$J$37002,"3*",'Accounting data'!$K$2:$K$37002,"64*")+SUMIFS('Accounting data'!$G$2:$G$37002,'Accounting data'!$H$2:$H$37002,"12*",'Accounting data'!$J$2:$J$37002,"3*",'Accounting data'!$K$2:$K$37002,"64*")+SUMIFS('Accounting data'!$G$2:$G$37002,'Accounting data'!$H$2:$H$37002,"13*",'Accounting data'!$J$2:$J$37002,"3*",'Accounting data'!$K$2:$K$37002,"64*")</f>
        <v>0</v>
      </c>
    </row>
    <row r="580" spans="1:5" x14ac:dyDescent="0.2">
      <c r="A580" s="522" t="s">
        <v>1006</v>
      </c>
      <c r="B580" s="524">
        <v>700</v>
      </c>
      <c r="C580" s="522">
        <v>1000</v>
      </c>
      <c r="D580" s="522">
        <v>6400</v>
      </c>
      <c r="E580" s="523">
        <f>SUMIFS('Accounting data'!$G$2:$G$37002,'Accounting data'!$H$2:$H$37002,"11*",'Accounting data'!$I$2:$I$37002,"7*",'Accounting data'!$J$2:$J$37002,"1*",'Accounting data'!$K$2:$K$37002,"64*")+SUMIFS('Accounting data'!$G$2:$G$37002,'Accounting data'!$H$2:$H$37002,"12*",'Accounting data'!$I$2:$I$37002,"7*",'Accounting data'!$J$2:$J$37002,"1*",'Accounting data'!$K$2:$K$37002,"64*")+SUMIFS('Accounting data'!$G$2:$G$37002,'Accounting data'!$H$2:$H$37002,"13*",'Accounting data'!$I$2:$I$37002,"7*",'Accounting data'!$J$2:$J$37002,"1*",'Accounting data'!$K$2:$K$37002,"64*")</f>
        <v>0</v>
      </c>
    </row>
    <row r="581" spans="1:5" x14ac:dyDescent="0.2">
      <c r="A581" s="522" t="s">
        <v>1006</v>
      </c>
      <c r="B581" s="524">
        <v>800</v>
      </c>
      <c r="C581" s="522">
        <v>1000</v>
      </c>
      <c r="D581" s="522">
        <v>6400</v>
      </c>
      <c r="E581" s="523">
        <f>SUMIFS('Accounting data'!$G$2:$G$37002,'Accounting data'!$H$2:$H$37002,"11*",'Accounting data'!$I$2:$I$37002,"8*",'Accounting data'!$J$2:$J$37002,"1*",'Accounting data'!$K$2:$K$37002,"64*")+SUMIFS('Accounting data'!$G$2:$G$37002,'Accounting data'!$H$2:$H$37002,"12*",'Accounting data'!$I$2:$I$37002,"8*",'Accounting data'!$J$2:$J$37002,"1*",'Accounting data'!$K$2:$K$37002,"64*")+SUMIFS('Accounting data'!$G$2:$G$37002,'Accounting data'!$H$2:$H$37002,"13*",'Accounting data'!$I$2:$I$37002,"8*",'Accounting data'!$J$2:$J$37002,"1*",'Accounting data'!$K$2:$K$37002,"64*")</f>
        <v>0</v>
      </c>
    </row>
    <row r="582" spans="1:5" x14ac:dyDescent="0.2">
      <c r="A582" s="522" t="s">
        <v>1006</v>
      </c>
      <c r="B582" s="524">
        <v>900</v>
      </c>
      <c r="C582" s="522">
        <v>1000</v>
      </c>
      <c r="D582" s="522">
        <v>6400</v>
      </c>
      <c r="E582" s="523">
        <f>SUMIFS('Accounting data'!$G$2:$G$37002,'Accounting data'!$H$2:$H$37002,"11*",'Accounting data'!$I$2:$I$37002,"9*",'Accounting data'!$J$2:$J$37002,"1*",'Accounting data'!$K$2:$K$37002,"64*")+SUMIFS('Accounting data'!$G$2:$G$37002,'Accounting data'!$H$2:$H$37002,"12*",'Accounting data'!$I$2:$I$37002,"9*",'Accounting data'!$J$2:$J$37002,"1*",'Accounting data'!$K$2:$K$37002,"64*")+SUMIFS('Accounting data'!$G$2:$G$37002,'Accounting data'!$H$2:$H$37002,"13*",'Accounting data'!$I$2:$I$37002,"9*",'Accounting data'!$J$2:$J$37002,"1*",'Accounting data'!$K$2:$K$37002,"64*")</f>
        <v>0</v>
      </c>
    </row>
    <row r="583" spans="1:5" x14ac:dyDescent="0.2">
      <c r="A583" s="522" t="s">
        <v>1006</v>
      </c>
      <c r="B583" s="524">
        <v>700</v>
      </c>
      <c r="C583" s="522">
        <v>2000</v>
      </c>
      <c r="D583" s="522">
        <v>6400</v>
      </c>
      <c r="E583" s="523">
        <f>SUMIFS('Accounting data'!$G$2:$G$37002,'Accounting data'!$H$2:$H$37002,"11*",'Accounting data'!$I$2:$I$37002,"7*",'Accounting data'!$J$2:$J$37002,"2*",'Accounting data'!$K$2:$K$37002,"64*")+SUMIFS('Accounting data'!$G$2:$G$37002,'Accounting data'!$H$2:$H$37002,"12*",'Accounting data'!$I$2:$I$37002,"7*",'Accounting data'!$J$2:$J$37002,"2*",'Accounting data'!$K$2:$K$37002,"64*")+SUMIFS('Accounting data'!$G$2:$G$37002,'Accounting data'!$H$2:$H$37002,"13*",'Accounting data'!$I$2:$I$37002,"7*",'Accounting data'!$J$2:$J$37002,"2*",'Accounting data'!$K$2:$K$37002,"64*")</f>
        <v>0</v>
      </c>
    </row>
    <row r="584" spans="1:5" x14ac:dyDescent="0.2">
      <c r="A584" s="522" t="s">
        <v>1006</v>
      </c>
      <c r="B584" s="524">
        <v>800</v>
      </c>
      <c r="C584" s="522">
        <v>2000</v>
      </c>
      <c r="D584" s="522">
        <v>6400</v>
      </c>
      <c r="E584" s="523">
        <f>SUMIFS('Accounting data'!$G$2:$G$37002,'Accounting data'!$H$2:$H$37002,"11*",'Accounting data'!$I$2:$I$37002,"8*",'Accounting data'!$J$2:$J$37002,"2*",'Accounting data'!$K$2:$K$37002,"64*")+SUMIFS('Accounting data'!$G$2:$G$37002,'Accounting data'!$H$2:$H$37002,"12*",'Accounting data'!$I$2:$I$37002,"8*",'Accounting data'!$J$2:$J$37002,"2*",'Accounting data'!$K$2:$K$37002,"64*")+SUMIFS('Accounting data'!$G$2:$G$37002,'Accounting data'!$H$2:$H$37002,"13*",'Accounting data'!$I$2:$I$37002,"8*",'Accounting data'!$J$2:$J$37002,"2*",'Accounting data'!$K$2:$K$37002,"64*")</f>
        <v>0</v>
      </c>
    </row>
    <row r="585" spans="1:5" x14ac:dyDescent="0.2">
      <c r="A585" s="522" t="s">
        <v>1006</v>
      </c>
      <c r="B585" s="524">
        <v>900</v>
      </c>
      <c r="C585" s="522">
        <v>2000</v>
      </c>
      <c r="D585" s="522">
        <v>6400</v>
      </c>
      <c r="E585" s="523">
        <f>SUMIFS('Accounting data'!$G$2:$G$37002,'Accounting data'!$H$2:$H$37002,"11*",'Accounting data'!$I$2:$I$37002,"9*",'Accounting data'!$J$2:$J$37002,"2*",'Accounting data'!$K$2:$K$37002,"64*")+SUMIFS('Accounting data'!$G$2:$G$37002,'Accounting data'!$H$2:$H$37002,"12*",'Accounting data'!$I$2:$I$37002,"9*",'Accounting data'!$J$2:$J$37002,"2*",'Accounting data'!$K$2:$K$37002,"64*")+SUMIFS('Accounting data'!$G$2:$G$37002,'Accounting data'!$H$2:$H$37002,"13*",'Accounting data'!$I$2:$I$37002,"9*",'Accounting data'!$J$2:$J$37002,"2*",'Accounting data'!$K$2:$K$37002,"64*")</f>
        <v>0</v>
      </c>
    </row>
    <row r="586" spans="1:5" x14ac:dyDescent="0.2">
      <c r="A586" s="522" t="s">
        <v>1006</v>
      </c>
      <c r="B586" s="524">
        <v>700</v>
      </c>
      <c r="C586" s="522">
        <v>3000</v>
      </c>
      <c r="D586" s="522">
        <v>6400</v>
      </c>
      <c r="E586" s="523">
        <f>SUMIFS('Accounting data'!$G$2:$G$37002,'Accounting data'!$H$2:$H$37002,"11*",'Accounting data'!$I$2:$I$37002,"7*",'Accounting data'!$J$2:$J$37002,"3*",'Accounting data'!$K$2:$K$37002,"64*")+SUMIFS('Accounting data'!$G$2:$G$37002,'Accounting data'!$H$2:$H$37002,"12*",'Accounting data'!$I$2:$I$37002,"7*",'Accounting data'!$J$2:$J$37002,"3*",'Accounting data'!$K$2:$K$37002,"64*")+SUMIFS('Accounting data'!$G$2:$G$37002,'Accounting data'!$H$2:$H$37002,"13*",'Accounting data'!$I$2:$I$37002,"7*",'Accounting data'!$J$2:$J$37002,"3*",'Accounting data'!$K$2:$K$37002,"64*")</f>
        <v>0</v>
      </c>
    </row>
    <row r="587" spans="1:5" x14ac:dyDescent="0.2">
      <c r="A587" s="522" t="s">
        <v>1006</v>
      </c>
      <c r="B587" s="524">
        <v>800</v>
      </c>
      <c r="C587" s="522">
        <v>3000</v>
      </c>
      <c r="D587" s="522">
        <v>6400</v>
      </c>
      <c r="E587" s="523">
        <f>SUMIFS('Accounting data'!$G$2:$G$37002,'Accounting data'!$H$2:$H$37002,"11*",'Accounting data'!$I$2:$I$37002,"8*",'Accounting data'!$J$2:$J$37002,"3*",'Accounting data'!$K$2:$K$37002,"64*")+SUMIFS('Accounting data'!$G$2:$G$37002,'Accounting data'!$H$2:$H$37002,"12*",'Accounting data'!$I$2:$I$37002,"8*",'Accounting data'!$J$2:$J$37002,"3*",'Accounting data'!$K$2:$K$37002,"64*")+SUMIFS('Accounting data'!$G$2:$G$37002,'Accounting data'!$H$2:$H$37002,"13*",'Accounting data'!$I$2:$I$37002,"8*",'Accounting data'!$J$2:$J$37002,"3*",'Accounting data'!$K$2:$K$37002,"64*")</f>
        <v>0</v>
      </c>
    </row>
    <row r="588" spans="1:5" x14ac:dyDescent="0.2">
      <c r="A588" s="522" t="s">
        <v>1006</v>
      </c>
      <c r="B588" s="524">
        <v>900</v>
      </c>
      <c r="C588" s="522">
        <v>3000</v>
      </c>
      <c r="D588" s="522">
        <v>6400</v>
      </c>
      <c r="E588" s="523">
        <f>SUMIFS('Accounting data'!$G$2:$G$37002,'Accounting data'!$H$2:$H$37002,"11*",'Accounting data'!$I$2:$I$37002,"9*",'Accounting data'!$J$2:$J$37002,"3*",'Accounting data'!$K$2:$K$37002,"64*")+SUMIFS('Accounting data'!$G$2:$G$37002,'Accounting data'!$H$2:$H$37002,"12*",'Accounting data'!$I$2:$I$37002,"9*",'Accounting data'!$J$2:$J$37002,"3*",'Accounting data'!$K$2:$K$37002,"64*")+SUMIFS('Accounting data'!$G$2:$G$37002,'Accounting data'!$H$2:$H$37002,"13*",'Accounting data'!$I$2:$I$37002,"9*",'Accounting data'!$J$2:$J$37002,"3*",'Accounting data'!$K$2:$K$37002,"64*")</f>
        <v>0</v>
      </c>
    </row>
    <row r="589" spans="1:5" x14ac:dyDescent="0.2">
      <c r="A589" s="525" t="s">
        <v>1037</v>
      </c>
      <c r="B589" s="525"/>
      <c r="C589" s="525"/>
      <c r="D589" s="525"/>
      <c r="E589" s="527">
        <f>(E577+E578+E579)-(E580+E581+E582+E583+E584+E585+E586+E587+E588)</f>
        <v>0</v>
      </c>
    </row>
    <row r="590" spans="1:5" x14ac:dyDescent="0.2">
      <c r="A590" s="522" t="s">
        <v>1006</v>
      </c>
      <c r="B590" s="522" t="s">
        <v>990</v>
      </c>
      <c r="C590" s="522">
        <v>1000</v>
      </c>
      <c r="D590" s="522">
        <v>6500</v>
      </c>
      <c r="E590" s="523">
        <f>SUMIFS('Accounting data'!$G$2:$G$37002,'Accounting data'!$H$2:$H$37002,"11*",'Accounting data'!$J$2:$J$37002,"1*",'Accounting data'!$K$2:$K$37002,"65*")+SUMIFS('Accounting data'!$G$2:$G$37002,'Accounting data'!$H$2:$H$37002,"12*",'Accounting data'!$J$2:$J$37002,"1*",'Accounting data'!$K$2:$K$37002,"65*")+SUMIFS('Accounting data'!$G$2:$G$37002,'Accounting data'!$H$2:$H$37002,"13*",'Accounting data'!$J$2:$J$37002,"1*",'Accounting data'!$K$2:$K$37002,"65*")</f>
        <v>0</v>
      </c>
    </row>
    <row r="591" spans="1:5" x14ac:dyDescent="0.2">
      <c r="A591" s="522" t="s">
        <v>1006</v>
      </c>
      <c r="B591" s="522" t="s">
        <v>990</v>
      </c>
      <c r="C591" s="522">
        <v>2000</v>
      </c>
      <c r="D591" s="522">
        <v>6500</v>
      </c>
      <c r="E591" s="523">
        <f>SUMIFS('Accounting data'!$G$2:$G$37002,'Accounting data'!$H$2:$H$37002,"11*",'Accounting data'!$J$2:$J$37002,"2*",'Accounting data'!$K$2:$K$37002,"65*")+SUMIFS('Accounting data'!$G$2:$G$37002,'Accounting data'!$H$2:$H$37002,"12*",'Accounting data'!$J$2:$J$37002,"2*",'Accounting data'!$K$2:$K$37002,"65*")+SUMIFS('Accounting data'!$G$2:$G$37002,'Accounting data'!$H$2:$H$37002,"13*",'Accounting data'!$J$2:$J$37002,"2*",'Accounting data'!$K$2:$K$37002,"65*")</f>
        <v>0</v>
      </c>
    </row>
    <row r="592" spans="1:5" x14ac:dyDescent="0.2">
      <c r="A592" s="522" t="s">
        <v>1006</v>
      </c>
      <c r="B592" s="522" t="s">
        <v>990</v>
      </c>
      <c r="C592" s="522">
        <v>3000</v>
      </c>
      <c r="D592" s="522">
        <v>6500</v>
      </c>
      <c r="E592" s="523">
        <f>SUMIFS('Accounting data'!$G$2:$G$37002,'Accounting data'!$H$2:$H$37002,"11*",'Accounting data'!$J$2:$J$37002,"3*",'Accounting data'!$K$2:$K$37002,"65*")+SUMIFS('Accounting data'!$G$2:$G$37002,'Accounting data'!$H$2:$H$37002,"12*",'Accounting data'!$J$2:$J$37002,"3*",'Accounting data'!$K$2:$K$37002,"65*")+SUMIFS('Accounting data'!$G$2:$G$37002,'Accounting data'!$H$2:$H$37002,"13*",'Accounting data'!$J$2:$J$37002,"3*",'Accounting data'!$K$2:$K$37002,"65*")</f>
        <v>0</v>
      </c>
    </row>
    <row r="593" spans="1:5" x14ac:dyDescent="0.2">
      <c r="A593" s="522" t="s">
        <v>1006</v>
      </c>
      <c r="B593" s="524">
        <v>700</v>
      </c>
      <c r="C593" s="522">
        <v>1000</v>
      </c>
      <c r="D593" s="522">
        <v>6500</v>
      </c>
      <c r="E593" s="523">
        <f>SUMIFS('Accounting data'!$G$2:$G$37002,'Accounting data'!$H$2:$H$37002,"11*",'Accounting data'!$I$2:$I$37002,"7*",'Accounting data'!$J$2:$J$37002,"1*",'Accounting data'!$K$2:$K$37002,"65*")+SUMIFS('Accounting data'!$G$2:$G$37002,'Accounting data'!$H$2:$H$37002,"12*",'Accounting data'!$I$2:$I$37002,"7*",'Accounting data'!$J$2:$J$37002,"1*",'Accounting data'!$K$2:$K$37002,"65*")+SUMIFS('Accounting data'!$G$2:$G$37002,'Accounting data'!$H$2:$H$37002,"13*",'Accounting data'!$I$2:$I$37002,"7*",'Accounting data'!$J$2:$J$37002,"1*",'Accounting data'!$K$2:$K$37002,"65*")</f>
        <v>0</v>
      </c>
    </row>
    <row r="594" spans="1:5" x14ac:dyDescent="0.2">
      <c r="A594" s="522" t="s">
        <v>1006</v>
      </c>
      <c r="B594" s="524">
        <v>800</v>
      </c>
      <c r="C594" s="522">
        <v>1000</v>
      </c>
      <c r="D594" s="522">
        <v>6500</v>
      </c>
      <c r="E594" s="523">
        <f>SUMIFS('Accounting data'!$G$2:$G$37002,'Accounting data'!$H$2:$H$37002,"11*",'Accounting data'!$I$2:$I$37002,"8*",'Accounting data'!$J$2:$J$37002,"1*",'Accounting data'!$K$2:$K$37002,"65*")+SUMIFS('Accounting data'!$G$2:$G$37002,'Accounting data'!$H$2:$H$37002,"12*",'Accounting data'!$I$2:$I$37002,"8*",'Accounting data'!$J$2:$J$37002,"1*",'Accounting data'!$K$2:$K$37002,"65*")+SUMIFS('Accounting data'!$G$2:$G$37002,'Accounting data'!$H$2:$H$37002,"13*",'Accounting data'!$I$2:$I$37002,"8*",'Accounting data'!$J$2:$J$37002,"1*",'Accounting data'!$K$2:$K$37002,"65*")</f>
        <v>0</v>
      </c>
    </row>
    <row r="595" spans="1:5" x14ac:dyDescent="0.2">
      <c r="A595" s="522" t="s">
        <v>1006</v>
      </c>
      <c r="B595" s="524">
        <v>900</v>
      </c>
      <c r="C595" s="522">
        <v>1000</v>
      </c>
      <c r="D595" s="522">
        <v>6500</v>
      </c>
      <c r="E595" s="523">
        <f>SUMIFS('Accounting data'!$G$2:$G$37002,'Accounting data'!$H$2:$H$37002,"11*",'Accounting data'!$I$2:$I$37002,"9*",'Accounting data'!$J$2:$J$37002,"1*",'Accounting data'!$K$2:$K$37002,"65*")+SUMIFS('Accounting data'!$G$2:$G$37002,'Accounting data'!$H$2:$H$37002,"12*",'Accounting data'!$I$2:$I$37002,"9*",'Accounting data'!$J$2:$J$37002,"1*",'Accounting data'!$K$2:$K$37002,"65*")+SUMIFS('Accounting data'!$G$2:$G$37002,'Accounting data'!$H$2:$H$37002,"13*",'Accounting data'!$I$2:$I$37002,"9*",'Accounting data'!$J$2:$J$37002,"1*",'Accounting data'!$K$2:$K$37002,"65*")</f>
        <v>0</v>
      </c>
    </row>
    <row r="596" spans="1:5" x14ac:dyDescent="0.2">
      <c r="A596" s="522" t="s">
        <v>1006</v>
      </c>
      <c r="B596" s="524">
        <v>700</v>
      </c>
      <c r="C596" s="522">
        <v>2000</v>
      </c>
      <c r="D596" s="522">
        <v>6500</v>
      </c>
      <c r="E596" s="523">
        <f>SUMIFS('Accounting data'!$G$2:$G$37002,'Accounting data'!$H$2:$H$37002,"11*",'Accounting data'!$I$2:$I$37002,"7*",'Accounting data'!$J$2:$J$37002,"2*",'Accounting data'!$K$2:$K$37002,"65*")+SUMIFS('Accounting data'!$G$2:$G$37002,'Accounting data'!$H$2:$H$37002,"12*",'Accounting data'!$I$2:$I$37002,"7*",'Accounting data'!$J$2:$J$37002,"2*",'Accounting data'!$K$2:$K$37002,"65*")+SUMIFS('Accounting data'!$G$2:$G$37002,'Accounting data'!$H$2:$H$37002,"13*",'Accounting data'!$I$2:$I$37002,"7*",'Accounting data'!$J$2:$J$37002,"2*",'Accounting data'!$K$2:$K$37002,"65*")</f>
        <v>0</v>
      </c>
    </row>
    <row r="597" spans="1:5" x14ac:dyDescent="0.2">
      <c r="A597" s="522" t="s">
        <v>1006</v>
      </c>
      <c r="B597" s="524">
        <v>800</v>
      </c>
      <c r="C597" s="522">
        <v>2000</v>
      </c>
      <c r="D597" s="522">
        <v>6500</v>
      </c>
      <c r="E597" s="523">
        <f>SUMIFS('Accounting data'!$G$2:$G$37002,'Accounting data'!$H$2:$H$37002,"11*",'Accounting data'!$I$2:$I$37002,"8*",'Accounting data'!$J$2:$J$37002,"2*",'Accounting data'!$K$2:$K$37002,"65*")+SUMIFS('Accounting data'!$G$2:$G$37002,'Accounting data'!$H$2:$H$37002,"12*",'Accounting data'!$I$2:$I$37002,"8*",'Accounting data'!$J$2:$J$37002,"2*",'Accounting data'!$K$2:$K$37002,"65*")+SUMIFS('Accounting data'!$G$2:$G$37002,'Accounting data'!$H$2:$H$37002,"13*",'Accounting data'!$I$2:$I$37002,"8*",'Accounting data'!$J$2:$J$37002,"2*",'Accounting data'!$K$2:$K$37002,"65*")</f>
        <v>0</v>
      </c>
    </row>
    <row r="598" spans="1:5" x14ac:dyDescent="0.2">
      <c r="A598" s="522" t="s">
        <v>1006</v>
      </c>
      <c r="B598" s="524">
        <v>900</v>
      </c>
      <c r="C598" s="522">
        <v>2000</v>
      </c>
      <c r="D598" s="522">
        <v>6500</v>
      </c>
      <c r="E598" s="523">
        <f>SUMIFS('Accounting data'!$G$2:$G$37002,'Accounting data'!$H$2:$H$37002,"11*",'Accounting data'!$I$2:$I$37002,"9*",'Accounting data'!$J$2:$J$37002,"2*",'Accounting data'!$K$2:$K$37002,"65*")+SUMIFS('Accounting data'!$G$2:$G$37002,'Accounting data'!$H$2:$H$37002,"12*",'Accounting data'!$I$2:$I$37002,"9*",'Accounting data'!$J$2:$J$37002,"2*",'Accounting data'!$K$2:$K$37002,"65*")+SUMIFS('Accounting data'!$G$2:$G$37002,'Accounting data'!$H$2:$H$37002,"13*",'Accounting data'!$I$2:$I$37002,"9*",'Accounting data'!$J$2:$J$37002,"2*",'Accounting data'!$K$2:$K$37002,"65*")</f>
        <v>0</v>
      </c>
    </row>
    <row r="599" spans="1:5" x14ac:dyDescent="0.2">
      <c r="A599" s="522" t="s">
        <v>1006</v>
      </c>
      <c r="B599" s="524">
        <v>700</v>
      </c>
      <c r="C599" s="522">
        <v>3000</v>
      </c>
      <c r="D599" s="522">
        <v>6500</v>
      </c>
      <c r="E599" s="523">
        <f>SUMIFS('Accounting data'!$G$2:$G$37002,'Accounting data'!$H$2:$H$37002,"11*",'Accounting data'!$I$2:$I$37002,"7*",'Accounting data'!$J$2:$J$37002,"3*",'Accounting data'!$K$2:$K$37002,"65*")+SUMIFS('Accounting data'!$G$2:$G$37002,'Accounting data'!$H$2:$H$37002,"12*",'Accounting data'!$I$2:$I$37002,"7*",'Accounting data'!$J$2:$J$37002,"3*",'Accounting data'!$K$2:$K$37002,"65*")+SUMIFS('Accounting data'!$G$2:$G$37002,'Accounting data'!$H$2:$H$37002,"13*",'Accounting data'!$I$2:$I$37002,"7*",'Accounting data'!$J$2:$J$37002,"3*",'Accounting data'!$K$2:$K$37002,"65*")</f>
        <v>0</v>
      </c>
    </row>
    <row r="600" spans="1:5" x14ac:dyDescent="0.2">
      <c r="A600" s="522" t="s">
        <v>1006</v>
      </c>
      <c r="B600" s="524">
        <v>800</v>
      </c>
      <c r="C600" s="522">
        <v>3000</v>
      </c>
      <c r="D600" s="522">
        <v>6500</v>
      </c>
      <c r="E600" s="523">
        <f>SUMIFS('Accounting data'!$G$2:$G$37002,'Accounting data'!$H$2:$H$37002,"11*",'Accounting data'!$I$2:$I$37002,"8*",'Accounting data'!$J$2:$J$37002,"3*",'Accounting data'!$K$2:$K$37002,"65*")+SUMIFS('Accounting data'!$G$2:$G$37002,'Accounting data'!$H$2:$H$37002,"12*",'Accounting data'!$I$2:$I$37002,"8*",'Accounting data'!$J$2:$J$37002,"3*",'Accounting data'!$K$2:$K$37002,"65*")+SUMIFS('Accounting data'!$G$2:$G$37002,'Accounting data'!$H$2:$H$37002,"13*",'Accounting data'!$I$2:$I$37002,"8*",'Accounting data'!$J$2:$J$37002,"3*",'Accounting data'!$K$2:$K$37002,"65*")</f>
        <v>0</v>
      </c>
    </row>
    <row r="601" spans="1:5" x14ac:dyDescent="0.2">
      <c r="A601" s="522" t="s">
        <v>1006</v>
      </c>
      <c r="B601" s="524">
        <v>900</v>
      </c>
      <c r="C601" s="522">
        <v>3000</v>
      </c>
      <c r="D601" s="522">
        <v>6500</v>
      </c>
      <c r="E601" s="523">
        <f>SUMIFS('Accounting data'!$G$2:$G$37002,'Accounting data'!$H$2:$H$37002,"11*",'Accounting data'!$I$2:$I$37002,"9*",'Accounting data'!$J$2:$J$37002,"3*",'Accounting data'!$K$2:$K$37002,"65*")+SUMIFS('Accounting data'!$G$2:$G$37002,'Accounting data'!$H$2:$H$37002,"12*",'Accounting data'!$I$2:$I$37002,"9*",'Accounting data'!$J$2:$J$37002,"3*",'Accounting data'!$K$2:$K$37002,"65*")+SUMIFS('Accounting data'!$G$2:$G$37002,'Accounting data'!$H$2:$H$37002,"13*",'Accounting data'!$I$2:$I$37002,"9*",'Accounting data'!$J$2:$J$37002,"3*",'Accounting data'!$K$2:$K$37002,"65*")</f>
        <v>0</v>
      </c>
    </row>
    <row r="602" spans="1:5" x14ac:dyDescent="0.2">
      <c r="A602" s="525" t="s">
        <v>1038</v>
      </c>
      <c r="B602" s="525"/>
      <c r="C602" s="525"/>
      <c r="D602" s="525"/>
      <c r="E602" s="527">
        <f>(E590+E591+E592)-(E593+E594+E595+E596+E597+E598+E599+E600+E601)</f>
        <v>0</v>
      </c>
    </row>
    <row r="629" spans="1:5" x14ac:dyDescent="0.2">
      <c r="A629" s="528" t="s">
        <v>1039</v>
      </c>
      <c r="B629" s="528"/>
      <c r="C629" s="528"/>
      <c r="D629" s="528"/>
      <c r="E629" s="532">
        <f>(E576+E589+E602)-(E615+E628)</f>
        <v>0</v>
      </c>
    </row>
    <row r="630" spans="1:5" x14ac:dyDescent="0.2">
      <c r="A630" s="522" t="s">
        <v>990</v>
      </c>
      <c r="B630" s="522" t="s">
        <v>990</v>
      </c>
      <c r="C630" s="522">
        <v>1000</v>
      </c>
      <c r="D630" s="522">
        <v>6600</v>
      </c>
      <c r="E630" s="523">
        <f>SUMIFS('Accounting data'!$G$2:$G$37002,'Accounting data'!$J$2:$J$37002,"1*",'Accounting data'!$K$2:$K$37002,"66*")</f>
        <v>778230</v>
      </c>
    </row>
    <row r="631" spans="1:5" x14ac:dyDescent="0.2">
      <c r="A631" s="522" t="s">
        <v>991</v>
      </c>
      <c r="B631" s="522" t="s">
        <v>990</v>
      </c>
      <c r="C631" s="522">
        <v>1000</v>
      </c>
      <c r="D631" s="522">
        <v>6600</v>
      </c>
      <c r="E631" s="523">
        <f>SUMIFS('Accounting data'!$G$2:$G$37002,'Accounting data'!$H$2:$H$37002,"9999*",'Accounting data'!$J$2:$J$37002,"1*",'Accounting data'!$K$2:$K$37002,"66*")</f>
        <v>0</v>
      </c>
    </row>
    <row r="632" spans="1:5" x14ac:dyDescent="0.2">
      <c r="A632" s="522" t="s">
        <v>990</v>
      </c>
      <c r="B632" s="522" t="s">
        <v>992</v>
      </c>
      <c r="C632" s="522">
        <v>1000</v>
      </c>
      <c r="D632" s="522">
        <v>6600</v>
      </c>
      <c r="E632" s="523">
        <f>SUMIFS('Accounting data'!$G$2:$G$37002,'Accounting data'!$I$2:$I$37002,"7*",'Accounting data'!$J$2:$J$37002,"1*",'Accounting data'!$K$2:$K$37002,"66*")+SUMIFS('Accounting data'!$G$2:$G$37002,'Accounting data'!$I$2:$I$37002,"8*",'Accounting data'!$J$2:$J$37002,"1*",'Accounting data'!$K$2:$K$37002,"66*")+SUMIFS('Accounting data'!$G$2:$G$37002,'Accounting data'!$I$2:$I$37002,"9*",'Accounting data'!$J$2:$J$37002,"1*",'Accounting data'!$K$2:$K$37002,"66*")</f>
        <v>0</v>
      </c>
    </row>
    <row r="633" spans="1:5" x14ac:dyDescent="0.2">
      <c r="A633" s="524" t="s">
        <v>991</v>
      </c>
      <c r="B633" s="522" t="s">
        <v>992</v>
      </c>
      <c r="C633" s="522">
        <v>1000</v>
      </c>
      <c r="D633" s="522">
        <v>6600</v>
      </c>
      <c r="E633" s="523">
        <f>SUMIFS('Accounting data'!$G$2:$G$37002,'Accounting data'!$H$2:$H$37002,"9999*",'Accounting data'!$I$2:$I$37002,"7*",'Accounting data'!$J$2:$J$37002,"1*",'Accounting data'!$K$2:$K$37002,"66*")+SUMIFS('Accounting data'!$G$2:$G$37002,'Accounting data'!$H$2:$H$37002,"9999*",'Accounting data'!$I$2:$I$37002,"8*",'Accounting data'!$J$2:$J$37002,"1*",'Accounting data'!$K$2:$K$37002,"66*")+SUMIFS('Accounting data'!$G$2:$G$37002,'Accounting data'!$H$2:$H$37002,"9999*",'Accounting data'!$I$2:$I$37002,"9*",'Accounting data'!$J$2:$J$37002,"1*",'Accounting data'!$K$2:$K$37002,"66*")</f>
        <v>0</v>
      </c>
    </row>
    <row r="634" spans="1:5" x14ac:dyDescent="0.2">
      <c r="A634" s="522"/>
      <c r="B634" s="522"/>
      <c r="C634" s="522"/>
      <c r="D634" s="522"/>
      <c r="E634" s="523"/>
    </row>
    <row r="635" spans="1:5" x14ac:dyDescent="0.2">
      <c r="A635" s="522"/>
      <c r="B635" s="522"/>
      <c r="C635" s="522"/>
      <c r="D635" s="522"/>
      <c r="E635" s="523"/>
    </row>
    <row r="636" spans="1:5" x14ac:dyDescent="0.2">
      <c r="A636" s="525" t="s">
        <v>1040</v>
      </c>
      <c r="B636" s="525"/>
      <c r="C636" s="525"/>
      <c r="D636" s="525"/>
      <c r="E636" s="527">
        <f>(E630-E631-E632)+(E633+E634+E635)</f>
        <v>778230</v>
      </c>
    </row>
    <row r="637" spans="1:5" x14ac:dyDescent="0.2">
      <c r="A637" s="522" t="s">
        <v>990</v>
      </c>
      <c r="B637" s="522" t="s">
        <v>990</v>
      </c>
      <c r="C637" s="522">
        <v>2100</v>
      </c>
      <c r="D637" s="522">
        <v>6600</v>
      </c>
      <c r="E637" s="523">
        <f>SUMIFS('Accounting data'!$G$2:$G$37002,'Accounting data'!$J$2:$J$37002,"21*",'Accounting data'!$K$2:$K$37002,"66*")</f>
        <v>7186</v>
      </c>
    </row>
    <row r="638" spans="1:5" x14ac:dyDescent="0.2">
      <c r="A638" s="522" t="s">
        <v>991</v>
      </c>
      <c r="B638" s="522" t="s">
        <v>990</v>
      </c>
      <c r="C638" s="522">
        <v>2100</v>
      </c>
      <c r="D638" s="522">
        <v>6600</v>
      </c>
      <c r="E638" s="523">
        <f>SUMIFS('Accounting data'!$G$2:$G$37002,'Accounting data'!$H$2:$H$37002,"9999*",'Accounting data'!$J$2:$J$37002,"21*",'Accounting data'!$K$2:$K$37002,"66*")</f>
        <v>0</v>
      </c>
    </row>
    <row r="639" spans="1:5" x14ac:dyDescent="0.2">
      <c r="A639" s="522" t="s">
        <v>990</v>
      </c>
      <c r="B639" s="522" t="s">
        <v>992</v>
      </c>
      <c r="C639" s="522">
        <v>2100</v>
      </c>
      <c r="D639" s="522">
        <v>6600</v>
      </c>
      <c r="E639" s="523">
        <f>SUMIFS('Accounting data'!$G$2:$G$37002,'Accounting data'!$I$2:$I$37002,"7*",'Accounting data'!$J$2:$J$37002,"21*",'Accounting data'!$K$2:$K$37002,"66*")+SUMIFS('Accounting data'!$G$2:$G$37002,'Accounting data'!$I$2:$I$37002,"8*",'Accounting data'!$J$2:$J$37002,"21*",'Accounting data'!$K$2:$K$37002,"66*")+SUMIFS('Accounting data'!$G$2:$G$37002,'Accounting data'!$I$2:$I$37002,"9*",'Accounting data'!$J$2:$J$37002,"21*",'Accounting data'!$K$2:$K$37002,"66*")</f>
        <v>0</v>
      </c>
    </row>
    <row r="640" spans="1:5" x14ac:dyDescent="0.2">
      <c r="A640" s="524" t="s">
        <v>991</v>
      </c>
      <c r="B640" s="522" t="s">
        <v>992</v>
      </c>
      <c r="C640" s="522">
        <v>2100</v>
      </c>
      <c r="D640" s="522">
        <v>6600</v>
      </c>
      <c r="E640" s="523">
        <f>SUMIFS('Accounting data'!$G$2:$G$37002,'Accounting data'!$H$2:$H$37002,"9999*",'Accounting data'!$I$2:$I$37002,"7*",'Accounting data'!$J$2:$J$37002,"21*",'Accounting data'!$K$2:$K$37002,"66*")+SUMIFS('Accounting data'!$G$2:$G$37002,'Accounting data'!$H$2:$H$37002,"9999*",'Accounting data'!$I$2:$I$37002,"8*",'Accounting data'!$J$2:$J$37002,"21*",'Accounting data'!$K$2:$K$37002,"66*")+SUMIFS('Accounting data'!$G$2:$G$37002,'Accounting data'!$H$2:$H$37002,"9999*",'Accounting data'!$I$2:$I$37002,"9*",'Accounting data'!$J$2:$J$37002,"21*",'Accounting data'!$K$2:$K$37002,"66*")</f>
        <v>0</v>
      </c>
    </row>
    <row r="643" spans="1:5" x14ac:dyDescent="0.2">
      <c r="A643" s="525" t="s">
        <v>1041</v>
      </c>
      <c r="B643" s="525"/>
      <c r="C643" s="525"/>
      <c r="D643" s="525"/>
      <c r="E643" s="527">
        <f>(E637-E638-E639)+(E640+E641+E642)</f>
        <v>7186</v>
      </c>
    </row>
    <row r="644" spans="1:5" x14ac:dyDescent="0.2">
      <c r="A644" s="522" t="s">
        <v>990</v>
      </c>
      <c r="B644" s="522" t="s">
        <v>990</v>
      </c>
      <c r="C644" s="522">
        <v>2200</v>
      </c>
      <c r="D644" s="522">
        <v>6600</v>
      </c>
      <c r="E644" s="523">
        <f>SUMIFS('Accounting data'!$G$2:$G$37002,'Accounting data'!$J$2:$J$37002,"22*",'Accounting data'!$K$2:$K$37002,"66*")</f>
        <v>206932</v>
      </c>
    </row>
    <row r="645" spans="1:5" x14ac:dyDescent="0.2">
      <c r="A645" s="522" t="s">
        <v>991</v>
      </c>
      <c r="B645" s="522" t="s">
        <v>990</v>
      </c>
      <c r="C645" s="522">
        <v>2200</v>
      </c>
      <c r="D645" s="522">
        <v>6600</v>
      </c>
      <c r="E645" s="523">
        <f>SUMIFS('Accounting data'!$G$2:$G$37002,'Accounting data'!$H$2:$H$37002,"9999*",'Accounting data'!$J$2:$J$37002,"22*",'Accounting data'!$K$2:$K$37002,"66*")</f>
        <v>0</v>
      </c>
    </row>
    <row r="646" spans="1:5" x14ac:dyDescent="0.2">
      <c r="A646" s="522" t="s">
        <v>990</v>
      </c>
      <c r="B646" s="522" t="s">
        <v>992</v>
      </c>
      <c r="C646" s="522">
        <v>2200</v>
      </c>
      <c r="D646" s="522">
        <v>6600</v>
      </c>
      <c r="E646" s="523">
        <f>SUMIFS('Accounting data'!$G$2:$G$37002,'Accounting data'!$I$2:$I$37002,"7*",'Accounting data'!$J$2:$J$37002,"22*",'Accounting data'!$K$2:$K$37002,"66*")+SUMIFS('Accounting data'!$G$2:$G$37002,'Accounting data'!$I$2:$I$37002,"8*",'Accounting data'!$J$2:$J$37002,"22*",'Accounting data'!$K$2:$K$37002,"66*")+SUMIFS('Accounting data'!$G$2:$G$37002,'Accounting data'!$I$2:$I$37002,"9*",'Accounting data'!$J$2:$J$37002,"22*",'Accounting data'!$K$2:$K$37002,"66*")</f>
        <v>0</v>
      </c>
    </row>
    <row r="647" spans="1:5" x14ac:dyDescent="0.2">
      <c r="A647" s="524" t="s">
        <v>991</v>
      </c>
      <c r="B647" s="522" t="s">
        <v>992</v>
      </c>
      <c r="C647" s="522">
        <v>2200</v>
      </c>
      <c r="D647" s="522">
        <v>6600</v>
      </c>
      <c r="E647" s="523">
        <f>SUMIFS('Accounting data'!$G$2:$G$37002,'Accounting data'!$H$2:$H$37002,"9999*",'Accounting data'!$I$2:$I$37002,"7*",'Accounting data'!$J$2:$J$37002,"22*",'Accounting data'!$K$2:$K$37002,"66*")+SUMIFS('Accounting data'!$G$2:$G$37002,'Accounting data'!$H$2:$H$37002,"9999*",'Accounting data'!$I$2:$I$37002,"8*",'Accounting data'!$J$2:$J$37002,"22*",'Accounting data'!$K$2:$K$37002,"66*")+SUMIFS('Accounting data'!$G$2:$G$37002,'Accounting data'!$H$2:$H$37002,"9999*",'Accounting data'!$I$2:$I$37002,"9*",'Accounting data'!$J$2:$J$37002,"22*",'Accounting data'!$K$2:$K$37002,"66*")</f>
        <v>0</v>
      </c>
    </row>
    <row r="648" spans="1:5" x14ac:dyDescent="0.2">
      <c r="A648" s="522"/>
      <c r="B648" s="522"/>
      <c r="C648" s="522"/>
      <c r="D648" s="522"/>
      <c r="E648" s="523"/>
    </row>
    <row r="649" spans="1:5" x14ac:dyDescent="0.2">
      <c r="A649" s="522"/>
      <c r="B649" s="522"/>
      <c r="C649" s="522"/>
      <c r="D649" s="522"/>
      <c r="E649" s="523"/>
    </row>
    <row r="650" spans="1:5" x14ac:dyDescent="0.2">
      <c r="A650" s="525" t="s">
        <v>1042</v>
      </c>
      <c r="B650" s="525"/>
      <c r="C650" s="525"/>
      <c r="D650" s="525"/>
      <c r="E650" s="527">
        <f>(E644-E645-E646)+(E647+E648+E649)</f>
        <v>206932</v>
      </c>
    </row>
    <row r="651" spans="1:5" x14ac:dyDescent="0.2">
      <c r="A651" s="522" t="s">
        <v>990</v>
      </c>
      <c r="B651" s="522" t="s">
        <v>990</v>
      </c>
      <c r="C651" s="522">
        <v>2300</v>
      </c>
      <c r="D651" s="522">
        <v>6600</v>
      </c>
      <c r="E651" s="523">
        <f>SUMIFS('Accounting data'!$G$2:$G$37002,'Accounting data'!$J$2:$J$37002,"23*",'Accounting data'!$K$2:$K$37002,"66*")</f>
        <v>0</v>
      </c>
    </row>
    <row r="652" spans="1:5" x14ac:dyDescent="0.2">
      <c r="A652" s="522" t="s">
        <v>991</v>
      </c>
      <c r="B652" s="522" t="s">
        <v>990</v>
      </c>
      <c r="C652" s="522">
        <v>2300</v>
      </c>
      <c r="D652" s="522">
        <v>6600</v>
      </c>
      <c r="E652" s="523">
        <f>SUMIFS('Accounting data'!$G$2:$G$37002,'Accounting data'!$H$2:$H$37002,"9999*",'Accounting data'!$J$2:$J$37002,"23*",'Accounting data'!$K$2:$K$37002,"66*")</f>
        <v>0</v>
      </c>
    </row>
    <row r="653" spans="1:5" x14ac:dyDescent="0.2">
      <c r="A653" s="522" t="s">
        <v>990</v>
      </c>
      <c r="B653" s="522" t="s">
        <v>992</v>
      </c>
      <c r="C653" s="522">
        <v>2300</v>
      </c>
      <c r="D653" s="522">
        <v>6600</v>
      </c>
      <c r="E653" s="523">
        <f>SUMIFS('Accounting data'!$G$2:$G$37002,'Accounting data'!$I$2:$I$37002,"7*",'Accounting data'!$J$2:$J$37002,"23*",'Accounting data'!$K$2:$K$37002,"66*")+SUMIFS('Accounting data'!$G$2:$G$37002,'Accounting data'!$I$2:$I$37002,"8*",'Accounting data'!$J$2:$J$37002,"23*",'Accounting data'!$K$2:$K$37002,"66*")+SUMIFS('Accounting data'!$G$2:$G$37002,'Accounting data'!$I$2:$I$37002,"9*",'Accounting data'!$J$2:$J$37002,"23*",'Accounting data'!$K$2:$K$37002,"66*")</f>
        <v>0</v>
      </c>
    </row>
    <row r="654" spans="1:5" x14ac:dyDescent="0.2">
      <c r="A654" s="524" t="s">
        <v>991</v>
      </c>
      <c r="B654" s="522" t="s">
        <v>992</v>
      </c>
      <c r="C654" s="522">
        <v>2300</v>
      </c>
      <c r="D654" s="522">
        <v>6600</v>
      </c>
      <c r="E654" s="523">
        <f>SUMIFS('Accounting data'!$G$2:$G$37002,'Accounting data'!$H$2:$H$37002,"9999*",'Accounting data'!$I$2:$I$37002,"7*",'Accounting data'!$J$2:$J$37002,"23*",'Accounting data'!$K$2:$K$37002,"66*")+SUMIFS('Accounting data'!$G$2:$G$37002,'Accounting data'!$H$2:$H$37002,"9999*",'Accounting data'!$I$2:$I$37002,"8*",'Accounting data'!$J$2:$J$37002,"23*",'Accounting data'!$K$2:$K$37002,"66*")+SUMIFS('Accounting data'!$G$2:$G$37002,'Accounting data'!$H$2:$H$37002,"9999*",'Accounting data'!$I$2:$I$37002,"9*",'Accounting data'!$J$2:$J$37002,"23*",'Accounting data'!$K$2:$K$37002,"66*")</f>
        <v>0</v>
      </c>
    </row>
    <row r="657" spans="1:5" x14ac:dyDescent="0.2">
      <c r="A657" s="525" t="s">
        <v>1043</v>
      </c>
      <c r="B657" s="525"/>
      <c r="C657" s="525"/>
      <c r="D657" s="525"/>
      <c r="E657" s="527">
        <f>(E651-E652-E653)+(E654+E655+E656)</f>
        <v>0</v>
      </c>
    </row>
    <row r="658" spans="1:5" x14ac:dyDescent="0.2">
      <c r="A658" s="522" t="s">
        <v>990</v>
      </c>
      <c r="B658" s="522" t="s">
        <v>990</v>
      </c>
      <c r="C658" s="522">
        <v>2400</v>
      </c>
      <c r="D658" s="522">
        <v>6600</v>
      </c>
      <c r="E658" s="523">
        <f>SUMIFS('Accounting data'!$G$2:$G$37002,'Accounting data'!$J$2:$J$37002,"24*",'Accounting data'!$K$2:$K$37002,"66*")</f>
        <v>18577</v>
      </c>
    </row>
    <row r="659" spans="1:5" x14ac:dyDescent="0.2">
      <c r="A659" s="522" t="s">
        <v>991</v>
      </c>
      <c r="B659" s="522" t="s">
        <v>990</v>
      </c>
      <c r="C659" s="522">
        <v>2400</v>
      </c>
      <c r="D659" s="522">
        <v>6600</v>
      </c>
      <c r="E659" s="523">
        <f>SUMIFS('Accounting data'!$G$2:$G$37002,'Accounting data'!$H$2:$H$37002,"9999*",'Accounting data'!$J$2:$J$37002,"24*",'Accounting data'!$K$2:$K$37002,"66*")</f>
        <v>0</v>
      </c>
    </row>
    <row r="660" spans="1:5" x14ac:dyDescent="0.2">
      <c r="A660" s="522" t="s">
        <v>990</v>
      </c>
      <c r="B660" s="522" t="s">
        <v>992</v>
      </c>
      <c r="C660" s="522">
        <v>2400</v>
      </c>
      <c r="D660" s="522">
        <v>6600</v>
      </c>
      <c r="E660" s="523">
        <f>SUMIFS('Accounting data'!$G$2:$G$37002,'Accounting data'!$I$2:$I$37002,"7*",'Accounting data'!$J$2:$J$37002,"24*",'Accounting data'!$K$2:$K$37002,"66*")+SUMIFS('Accounting data'!$G$2:$G$37002,'Accounting data'!$I$2:$I$37002,"8*",'Accounting data'!$J$2:$J$37002,"24*",'Accounting data'!$K$2:$K$37002,"66*")+SUMIFS('Accounting data'!$G$2:$G$37002,'Accounting data'!$I$2:$I$37002,"9*",'Accounting data'!$J$2:$J$37002,"24*",'Accounting data'!$K$2:$K$37002,"66*")</f>
        <v>0</v>
      </c>
    </row>
    <row r="661" spans="1:5" x14ac:dyDescent="0.2">
      <c r="A661" s="524" t="s">
        <v>991</v>
      </c>
      <c r="B661" s="522" t="s">
        <v>992</v>
      </c>
      <c r="C661" s="522">
        <v>2400</v>
      </c>
      <c r="D661" s="522">
        <v>6600</v>
      </c>
      <c r="E661" s="523">
        <f>SUMIFS('Accounting data'!$G$2:$G$37002,'Accounting data'!$H$2:$H$37002,"9999*",'Accounting data'!$I$2:$I$37002,"7*",'Accounting data'!$J$2:$J$37002,"24*",'Accounting data'!$K$2:$K$37002,"66*")+SUMIFS('Accounting data'!$G$2:$G$37002,'Accounting data'!$H$2:$H$37002,"9999*",'Accounting data'!$I$2:$I$37002,"8*",'Accounting data'!$J$2:$J$37002,"24*",'Accounting data'!$K$2:$K$37002,"66*")+SUMIFS('Accounting data'!$G$2:$G$37002,'Accounting data'!$H$2:$H$37002,"9999*",'Accounting data'!$I$2:$I$37002,"9*",'Accounting data'!$J$2:$J$37002,"24*",'Accounting data'!$K$2:$K$37002,"66*")</f>
        <v>0</v>
      </c>
    </row>
    <row r="662" spans="1:5" x14ac:dyDescent="0.2">
      <c r="A662" s="522"/>
      <c r="B662" s="522"/>
      <c r="C662" s="522"/>
      <c r="D662" s="522"/>
      <c r="E662" s="523"/>
    </row>
    <row r="663" spans="1:5" x14ac:dyDescent="0.2">
      <c r="A663" s="522"/>
      <c r="B663" s="522"/>
      <c r="C663" s="522"/>
      <c r="D663" s="522"/>
      <c r="E663" s="523"/>
    </row>
    <row r="664" spans="1:5" x14ac:dyDescent="0.2">
      <c r="A664" s="525" t="s">
        <v>1044</v>
      </c>
      <c r="B664" s="525"/>
      <c r="C664" s="525"/>
      <c r="D664" s="525"/>
      <c r="E664" s="527">
        <f>(E658-E659-E660)+(E661+E662+E663)</f>
        <v>18577</v>
      </c>
    </row>
    <row r="665" spans="1:5" x14ac:dyDescent="0.2">
      <c r="A665" s="522" t="s">
        <v>990</v>
      </c>
      <c r="B665" s="522" t="s">
        <v>990</v>
      </c>
      <c r="C665" s="522">
        <v>2500</v>
      </c>
      <c r="D665" s="522">
        <v>6600</v>
      </c>
      <c r="E665" s="523">
        <f>SUMIFS('Accounting data'!$G$2:$G$37002,'Accounting data'!$J$2:$J$37002,"25*",'Accounting data'!$K$2:$K$37002,"66*")</f>
        <v>5457</v>
      </c>
    </row>
    <row r="666" spans="1:5" x14ac:dyDescent="0.2">
      <c r="A666" s="522" t="s">
        <v>991</v>
      </c>
      <c r="B666" s="522" t="s">
        <v>990</v>
      </c>
      <c r="C666" s="522">
        <v>2500</v>
      </c>
      <c r="D666" s="522">
        <v>6600</v>
      </c>
      <c r="E666" s="523">
        <f>SUMIFS('Accounting data'!$G$2:$G$37002,'Accounting data'!$H$2:$H$37002,"9999*",'Accounting data'!$J$2:$J$37002,"25*",'Accounting data'!$K$2:$K$37002,"66*")</f>
        <v>0</v>
      </c>
    </row>
    <row r="667" spans="1:5" x14ac:dyDescent="0.2">
      <c r="A667" s="522" t="s">
        <v>990</v>
      </c>
      <c r="B667" s="522" t="s">
        <v>992</v>
      </c>
      <c r="C667" s="522">
        <v>2500</v>
      </c>
      <c r="D667" s="522">
        <v>6600</v>
      </c>
      <c r="E667" s="523">
        <f>SUMIFS('Accounting data'!$G$2:$G$37002,'Accounting data'!$I$2:$I$37002,"7*",'Accounting data'!$J$2:$J$37002,"25*",'Accounting data'!$K$2:$K$37002,"66*")+SUMIFS('Accounting data'!$G$2:$G$37002,'Accounting data'!$I$2:$I$37002,"8*",'Accounting data'!$J$2:$J$37002,"25*",'Accounting data'!$K$2:$K$37002,"66*")+SUMIFS('Accounting data'!$G$2:$G$37002,'Accounting data'!$I$2:$I$37002,"9*",'Accounting data'!$J$2:$J$37002,"25*",'Accounting data'!$K$2:$K$37002,"66*")</f>
        <v>0</v>
      </c>
    </row>
    <row r="668" spans="1:5" x14ac:dyDescent="0.2">
      <c r="A668" s="524" t="s">
        <v>991</v>
      </c>
      <c r="B668" s="522" t="s">
        <v>992</v>
      </c>
      <c r="C668" s="522">
        <v>2500</v>
      </c>
      <c r="D668" s="522">
        <v>6600</v>
      </c>
      <c r="E668" s="523">
        <f>SUMIFS('Accounting data'!$G$2:$G$37002,'Accounting data'!$H$2:$H$37002,"9999*",'Accounting data'!$I$2:$I$37002,"7*",'Accounting data'!$J$2:$J$37002,"25*",'Accounting data'!$K$2:$K$37002,"66*")+SUMIFS('Accounting data'!$G$2:$G$37002,'Accounting data'!$H$2:$H$37002,"9999*",'Accounting data'!$I$2:$I$37002,"8*",'Accounting data'!$J$2:$J$37002,"25*",'Accounting data'!$K$2:$K$37002,"66*")+SUMIFS('Accounting data'!$G$2:$G$37002,'Accounting data'!$H$2:$H$37002,"9999*",'Accounting data'!$I$2:$I$37002,"9*",'Accounting data'!$J$2:$J$37002,"25*",'Accounting data'!$K$2:$K$37002,"66*")</f>
        <v>0</v>
      </c>
    </row>
    <row r="669" spans="1:5" x14ac:dyDescent="0.2">
      <c r="A669" s="522"/>
      <c r="B669" s="522"/>
      <c r="C669" s="522"/>
      <c r="D669" s="522"/>
      <c r="E669" s="523"/>
    </row>
    <row r="670" spans="1:5" x14ac:dyDescent="0.2">
      <c r="A670" s="522"/>
      <c r="B670" s="522"/>
      <c r="C670" s="522"/>
      <c r="D670" s="522"/>
      <c r="E670" s="523"/>
    </row>
    <row r="671" spans="1:5" x14ac:dyDescent="0.2">
      <c r="A671" s="525" t="s">
        <v>1045</v>
      </c>
      <c r="B671" s="525"/>
      <c r="C671" s="525"/>
      <c r="D671" s="525"/>
      <c r="E671" s="527">
        <f>(E665-E666-E667)+(E668+E669+E670)</f>
        <v>5457</v>
      </c>
    </row>
    <row r="672" spans="1:5" x14ac:dyDescent="0.2">
      <c r="A672" s="522" t="s">
        <v>990</v>
      </c>
      <c r="B672" s="522" t="s">
        <v>990</v>
      </c>
      <c r="C672" s="522">
        <v>2900</v>
      </c>
      <c r="D672" s="522">
        <v>6600</v>
      </c>
      <c r="E672" s="523">
        <f>SUMIFS('Accounting data'!$G$2:$G$37002,'Accounting data'!$J$2:$J$37002,"29*",'Accounting data'!$K$2:$K$37002,"66*")</f>
        <v>0</v>
      </c>
    </row>
    <row r="673" spans="1:5" x14ac:dyDescent="0.2">
      <c r="A673" s="522" t="s">
        <v>991</v>
      </c>
      <c r="B673" s="522" t="s">
        <v>990</v>
      </c>
      <c r="C673" s="522">
        <v>2900</v>
      </c>
      <c r="D673" s="522">
        <v>6600</v>
      </c>
      <c r="E673" s="523">
        <f>SUMIFS('Accounting data'!$G$2:$G$37002,'Accounting data'!$H$2:$H$37002,"9999*",'Accounting data'!$J$2:$J$37002,"29*",'Accounting data'!$K$2:$K$37002,"66*")</f>
        <v>0</v>
      </c>
    </row>
    <row r="674" spans="1:5" x14ac:dyDescent="0.2">
      <c r="A674" s="522" t="s">
        <v>990</v>
      </c>
      <c r="B674" s="522" t="s">
        <v>992</v>
      </c>
      <c r="C674" s="522">
        <v>2900</v>
      </c>
      <c r="D674" s="522">
        <v>6600</v>
      </c>
      <c r="E674" s="523">
        <f>SUMIFS('Accounting data'!$G$2:$G$37002,'Accounting data'!$I$2:$I$37002,"7*",'Accounting data'!$J$2:$J$37002,"29*",'Accounting data'!$K$2:$K$37002,"66*")+SUMIFS('Accounting data'!$G$2:$G$37002,'Accounting data'!$I$2:$I$37002,"8*",'Accounting data'!$J$2:$J$37002,"29*",'Accounting data'!$K$2:$K$37002,"66*")+SUMIFS('Accounting data'!$G$2:$G$37002,'Accounting data'!$I$2:$I$37002,"9*",'Accounting data'!$J$2:$J$37002,"29*",'Accounting data'!$K$2:$K$37002,"66*")</f>
        <v>0</v>
      </c>
    </row>
    <row r="675" spans="1:5" x14ac:dyDescent="0.2">
      <c r="A675" s="524" t="s">
        <v>991</v>
      </c>
      <c r="B675" s="522" t="s">
        <v>992</v>
      </c>
      <c r="C675" s="522">
        <v>2900</v>
      </c>
      <c r="D675" s="522">
        <v>6600</v>
      </c>
      <c r="E675" s="523">
        <f>SUMIFS('Accounting data'!$G$2:$G$37002,'Accounting data'!$H$2:$H$37002,"9999*",'Accounting data'!$I$2:$I$37002,"7*",'Accounting data'!$J$2:$J$37002,"29*",'Accounting data'!$K$2:$K$37002,"66*")+SUMIFS('Accounting data'!$G$2:$G$37002,'Accounting data'!$H$2:$H$37002,"9999*",'Accounting data'!$I$2:$I$37002,"8*",'Accounting data'!$J$2:$J$37002,"29*",'Accounting data'!$K$2:$K$37002,"66*")+SUMIFS('Accounting data'!$G$2:$G$37002,'Accounting data'!$H$2:$H$37002,"9999*",'Accounting data'!$I$2:$I$37002,"9*",'Accounting data'!$J$2:$J$37002,"29*",'Accounting data'!$K$2:$K$37002,"66*")</f>
        <v>0</v>
      </c>
    </row>
    <row r="676" spans="1:5" x14ac:dyDescent="0.2">
      <c r="A676" s="522"/>
      <c r="B676" s="522"/>
      <c r="C676" s="522"/>
      <c r="D676" s="522"/>
      <c r="E676" s="523"/>
    </row>
    <row r="677" spans="1:5" x14ac:dyDescent="0.2">
      <c r="A677" s="522"/>
      <c r="B677" s="522"/>
      <c r="C677" s="522"/>
      <c r="D677" s="522"/>
      <c r="E677" s="523"/>
    </row>
    <row r="678" spans="1:5" x14ac:dyDescent="0.2">
      <c r="A678" s="525" t="s">
        <v>1046</v>
      </c>
      <c r="B678" s="525"/>
      <c r="C678" s="525"/>
      <c r="D678" s="525"/>
      <c r="E678" s="527">
        <f>(E672-E673-E674)+(E675+E676+E677)</f>
        <v>0</v>
      </c>
    </row>
    <row r="679" spans="1:5" x14ac:dyDescent="0.2">
      <c r="A679" s="522" t="s">
        <v>990</v>
      </c>
      <c r="B679" s="522" t="s">
        <v>990</v>
      </c>
      <c r="C679" s="522">
        <v>2600</v>
      </c>
      <c r="D679" s="522">
        <v>6600</v>
      </c>
      <c r="E679" s="523">
        <f>SUMIFS('Accounting data'!$G$2:$G$37002,'Accounting data'!$J$2:$J$37002,"26*",'Accounting data'!$K$2:$K$37002,"66*")</f>
        <v>427484</v>
      </c>
    </row>
    <row r="680" spans="1:5" x14ac:dyDescent="0.2">
      <c r="A680" s="522" t="s">
        <v>991</v>
      </c>
      <c r="B680" s="522" t="s">
        <v>990</v>
      </c>
      <c r="C680" s="522">
        <v>2600</v>
      </c>
      <c r="D680" s="522">
        <v>6600</v>
      </c>
      <c r="E680" s="523">
        <f>SUMIFS('Accounting data'!$G$2:$G$37002,'Accounting data'!$H$2:$H$37002,"9999*",'Accounting data'!$J$2:$J$37002,"26*",'Accounting data'!$K$2:$K$37002,"66*")</f>
        <v>0</v>
      </c>
    </row>
    <row r="681" spans="1:5" x14ac:dyDescent="0.2">
      <c r="A681" s="522" t="s">
        <v>990</v>
      </c>
      <c r="B681" s="522" t="s">
        <v>992</v>
      </c>
      <c r="C681" s="522">
        <v>2600</v>
      </c>
      <c r="D681" s="522">
        <v>6600</v>
      </c>
      <c r="E681" s="523">
        <f>SUMIFS('Accounting data'!$G$2:$G$37002,'Accounting data'!$I$2:$I$37002,"7*",'Accounting data'!$J$2:$J$37002,"26*",'Accounting data'!$K$2:$K$37002,"66*")+SUMIFS('Accounting data'!$G$2:$G$37002,'Accounting data'!$I$2:$I$37002,"8*",'Accounting data'!$J$2:$J$37002,"26*",'Accounting data'!$K$2:$K$37002,"66*")+SUMIFS('Accounting data'!$G$2:$G$37002,'Accounting data'!$I$2:$I$37002,"9*",'Accounting data'!$J$2:$J$37002,"26*",'Accounting data'!$K$2:$K$37002,"66*")</f>
        <v>0</v>
      </c>
    </row>
    <row r="682" spans="1:5" x14ac:dyDescent="0.2">
      <c r="A682" s="524" t="s">
        <v>991</v>
      </c>
      <c r="B682" s="522" t="s">
        <v>992</v>
      </c>
      <c r="C682" s="522">
        <v>2600</v>
      </c>
      <c r="D682" s="522">
        <v>6600</v>
      </c>
      <c r="E682" s="523">
        <f>SUMIFS('Accounting data'!$G$2:$G$37002,'Accounting data'!$H$2:$H$37002,"9999*",'Accounting data'!$I$2:$I$37002,"7*",'Accounting data'!$J$2:$J$37002,"26*",'Accounting data'!$K$2:$K$37002,"66*")+SUMIFS('Accounting data'!$G$2:$G$37002,'Accounting data'!$H$2:$H$37002,"9999*",'Accounting data'!$I$2:$I$37002,"8*",'Accounting data'!$J$2:$J$37002,"26*",'Accounting data'!$K$2:$K$37002,"66*")+SUMIFS('Accounting data'!$G$2:$G$37002,'Accounting data'!$H$2:$H$37002,"9999*",'Accounting data'!$I$2:$I$37002,"9*",'Accounting data'!$J$2:$J$37002,"26*",'Accounting data'!$K$2:$K$37002,"66*")</f>
        <v>0</v>
      </c>
    </row>
    <row r="683" spans="1:5" x14ac:dyDescent="0.2">
      <c r="A683" s="522"/>
      <c r="B683" s="522"/>
      <c r="C683" s="522"/>
      <c r="D683" s="522"/>
      <c r="E683" s="523"/>
    </row>
    <row r="684" spans="1:5" x14ac:dyDescent="0.2">
      <c r="A684" s="522"/>
      <c r="B684" s="522"/>
      <c r="C684" s="522"/>
      <c r="D684" s="522"/>
      <c r="E684" s="523"/>
    </row>
    <row r="685" spans="1:5" x14ac:dyDescent="0.2">
      <c r="A685" s="525" t="s">
        <v>1047</v>
      </c>
      <c r="B685" s="525"/>
      <c r="C685" s="525"/>
      <c r="D685" s="525"/>
      <c r="E685" s="527">
        <f>(E679-E680-E681)+(E682+E683+E684)</f>
        <v>427484</v>
      </c>
    </row>
    <row r="686" spans="1:5" x14ac:dyDescent="0.2">
      <c r="A686" s="522" t="s">
        <v>990</v>
      </c>
      <c r="B686" s="522" t="s">
        <v>990</v>
      </c>
      <c r="C686" s="522">
        <v>2700</v>
      </c>
      <c r="D686" s="522">
        <v>6600</v>
      </c>
      <c r="E686" s="523">
        <f>SUMIFS('Accounting data'!$G$2:$G$37002,'Accounting data'!$J$2:$J$37002,"27*",'Accounting data'!$K$2:$K$37002,"66*")</f>
        <v>0</v>
      </c>
    </row>
    <row r="687" spans="1:5" x14ac:dyDescent="0.2">
      <c r="A687" s="522" t="s">
        <v>991</v>
      </c>
      <c r="B687" s="522" t="s">
        <v>990</v>
      </c>
      <c r="C687" s="522">
        <v>2700</v>
      </c>
      <c r="D687" s="522">
        <v>6600</v>
      </c>
      <c r="E687" s="523">
        <f>SUMIFS('Accounting data'!$G$2:$G$37002,'Accounting data'!$H$2:$H$37002,"9999*",'Accounting data'!$J$2:$J$37002,"27*",'Accounting data'!$K$2:$K$37002,"66*")</f>
        <v>0</v>
      </c>
    </row>
    <row r="688" spans="1:5" x14ac:dyDescent="0.2">
      <c r="A688" s="522" t="s">
        <v>990</v>
      </c>
      <c r="B688" s="522" t="s">
        <v>992</v>
      </c>
      <c r="C688" s="522">
        <v>2700</v>
      </c>
      <c r="D688" s="522">
        <v>6600</v>
      </c>
      <c r="E688" s="523">
        <f>SUMIFS('Accounting data'!$G$2:$G$37002,'Accounting data'!$I$2:$I$37002,"7*",'Accounting data'!$J$2:$J$37002,"27*",'Accounting data'!$K$2:$K$37002,"66*")+SUMIFS('Accounting data'!$G$2:$G$37002,'Accounting data'!$I$2:$I$37002,"8*",'Accounting data'!$J$2:$J$37002,"27*",'Accounting data'!$K$2:$K$37002,"66*")+SUMIFS('Accounting data'!$G$2:$G$37002,'Accounting data'!$I$2:$I$37002,"9*",'Accounting data'!$J$2:$J$37002,"27*",'Accounting data'!$K$2:$K$37002,"66*")</f>
        <v>0</v>
      </c>
    </row>
    <row r="689" spans="1:5" x14ac:dyDescent="0.2">
      <c r="A689" s="524" t="s">
        <v>991</v>
      </c>
      <c r="B689" s="522" t="s">
        <v>992</v>
      </c>
      <c r="C689" s="522">
        <v>2700</v>
      </c>
      <c r="D689" s="522">
        <v>6600</v>
      </c>
      <c r="E689" s="523">
        <f>SUMIFS('Accounting data'!$G$2:$G$37002,'Accounting data'!$H$2:$H$37002,"9999*",'Accounting data'!$I$2:$I$37002,"7*",'Accounting data'!$J$2:$J$37002,"27*",'Accounting data'!$K$2:$K$37002,"66*")+SUMIFS('Accounting data'!$G$2:$G$37002,'Accounting data'!$H$2:$H$37002,"9999*",'Accounting data'!$I$2:$I$37002,"8*",'Accounting data'!$J$2:$J$37002,"27*",'Accounting data'!$K$2:$K$37002,"66*")+SUMIFS('Accounting data'!$G$2:$G$37002,'Accounting data'!$H$2:$H$37002,"9999*",'Accounting data'!$I$2:$I$37002,"9*",'Accounting data'!$J$2:$J$37002,"27*",'Accounting data'!$K$2:$K$37002,"66*")</f>
        <v>0</v>
      </c>
    </row>
    <row r="690" spans="1:5" x14ac:dyDescent="0.2">
      <c r="A690" s="522"/>
      <c r="B690" s="522"/>
      <c r="C690" s="522"/>
      <c r="D690" s="522"/>
      <c r="E690" s="523"/>
    </row>
    <row r="691" spans="1:5" x14ac:dyDescent="0.2">
      <c r="A691" s="522"/>
      <c r="B691" s="522"/>
      <c r="C691" s="522"/>
      <c r="D691" s="522"/>
      <c r="E691" s="523"/>
    </row>
    <row r="692" spans="1:5" x14ac:dyDescent="0.2">
      <c r="A692" s="525" t="s">
        <v>1048</v>
      </c>
      <c r="B692" s="525"/>
      <c r="C692" s="525"/>
      <c r="D692" s="525"/>
      <c r="E692" s="527">
        <f>(E686-E687-E688)+(E689+E690+E691)</f>
        <v>0</v>
      </c>
    </row>
    <row r="693" spans="1:5" x14ac:dyDescent="0.2">
      <c r="A693" s="522" t="s">
        <v>990</v>
      </c>
      <c r="B693" s="522" t="s">
        <v>990</v>
      </c>
      <c r="C693" s="522">
        <v>3100</v>
      </c>
      <c r="D693" s="522">
        <v>6600</v>
      </c>
      <c r="E693" s="523">
        <f>SUMIFS('Accounting data'!$G$2:$G$37002,'Accounting data'!$J$2:$J$37002,"31*",'Accounting data'!$K$2:$K$37002,"66*")</f>
        <v>0</v>
      </c>
    </row>
    <row r="694" spans="1:5" x14ac:dyDescent="0.2">
      <c r="A694" s="522" t="s">
        <v>991</v>
      </c>
      <c r="B694" s="522" t="s">
        <v>990</v>
      </c>
      <c r="C694" s="522">
        <v>3100</v>
      </c>
      <c r="D694" s="522">
        <v>6600</v>
      </c>
      <c r="E694" s="523">
        <f>SUMIFS('Accounting data'!$G$2:$G$37002,'Accounting data'!$H$2:$H$37002,"9999*",'Accounting data'!$J$2:$J$37002,"31*",'Accounting data'!$K$2:$K$37002,"66*")</f>
        <v>0</v>
      </c>
    </row>
    <row r="695" spans="1:5" x14ac:dyDescent="0.2">
      <c r="A695" s="522" t="s">
        <v>990</v>
      </c>
      <c r="B695" s="522" t="s">
        <v>992</v>
      </c>
      <c r="C695" s="522">
        <v>3100</v>
      </c>
      <c r="D695" s="522">
        <v>6600</v>
      </c>
      <c r="E695" s="523">
        <f>SUMIFS('Accounting data'!$G$2:$G$37002,'Accounting data'!$I$2:$I$37002,"7*",'Accounting data'!$J$2:$J$37002,"31*",'Accounting data'!$K$2:$K$37002,"66*")+SUMIFS('Accounting data'!$G$2:$G$37002,'Accounting data'!$I$2:$I$37002,"8*",'Accounting data'!$J$2:$J$37002,"31*",'Accounting data'!$K$2:$K$37002,"66*")+SUMIFS('Accounting data'!$G$2:$G$37002,'Accounting data'!$I$2:$I$37002,"9*",'Accounting data'!$J$2:$J$37002,"31*",'Accounting data'!$K$2:$K$37002,"66*")</f>
        <v>0</v>
      </c>
    </row>
    <row r="696" spans="1:5" x14ac:dyDescent="0.2">
      <c r="A696" s="524" t="s">
        <v>991</v>
      </c>
      <c r="B696" s="522" t="s">
        <v>992</v>
      </c>
      <c r="C696" s="522">
        <v>3100</v>
      </c>
      <c r="D696" s="522">
        <v>6600</v>
      </c>
      <c r="E696" s="523">
        <f>SUMIFS('Accounting data'!$G$2:$G$37002,'Accounting data'!$H$2:$H$37002,"9999*",'Accounting data'!$I$2:$I$37002,"7*",'Accounting data'!$J$2:$J$37002,"31*",'Accounting data'!$K$2:$K$37002,"66*")+SUMIFS('Accounting data'!$G$2:$G$37002,'Accounting data'!$H$2:$H$37002,"9999*",'Accounting data'!$I$2:$I$37002,"8*",'Accounting data'!$J$2:$J$37002,"31*",'Accounting data'!$K$2:$K$37002,"66*")+SUMIFS('Accounting data'!$G$2:$G$37002,'Accounting data'!$H$2:$H$37002,"9999*",'Accounting data'!$I$2:$I$37002,"9*",'Accounting data'!$J$2:$J$37002,"31*",'Accounting data'!$K$2:$K$37002,"66*")</f>
        <v>0</v>
      </c>
    </row>
    <row r="697" spans="1:5" x14ac:dyDescent="0.2">
      <c r="A697" s="522"/>
      <c r="B697" s="522"/>
      <c r="C697" s="522"/>
      <c r="D697" s="522"/>
      <c r="E697" s="523"/>
    </row>
    <row r="698" spans="1:5" x14ac:dyDescent="0.2">
      <c r="A698" s="522"/>
      <c r="B698" s="522"/>
      <c r="C698" s="522"/>
      <c r="D698" s="522"/>
      <c r="E698" s="523"/>
    </row>
    <row r="699" spans="1:5" x14ac:dyDescent="0.2">
      <c r="A699" s="525" t="s">
        <v>1049</v>
      </c>
      <c r="B699" s="525"/>
      <c r="C699" s="525"/>
      <c r="D699" s="525"/>
      <c r="E699" s="527">
        <f>(E693-E694-E695)+(E696+E697+E698)</f>
        <v>0</v>
      </c>
    </row>
    <row r="707" spans="1:5" x14ac:dyDescent="0.2">
      <c r="A707" s="522" t="s">
        <v>990</v>
      </c>
      <c r="B707" s="522" t="s">
        <v>990</v>
      </c>
      <c r="C707" s="522">
        <v>3400</v>
      </c>
      <c r="D707" s="522">
        <v>6600</v>
      </c>
      <c r="E707" s="523">
        <f>SUMIFS('Accounting data'!$G$2:$G$37002,'Accounting data'!$J$2:$J$37002,"34*",'Accounting data'!$K$2:$K$37002,"66*")</f>
        <v>0</v>
      </c>
    </row>
    <row r="708" spans="1:5" x14ac:dyDescent="0.2">
      <c r="A708" s="522" t="s">
        <v>991</v>
      </c>
      <c r="B708" s="522" t="s">
        <v>990</v>
      </c>
      <c r="C708" s="522">
        <v>3400</v>
      </c>
      <c r="D708" s="522">
        <v>6600</v>
      </c>
      <c r="E708" s="523">
        <f>SUMIFS('Accounting data'!$G$2:$G$37002,'Accounting data'!$H$2:$H$37002,"9999*",'Accounting data'!$J$2:$J$37002,"34*",'Accounting data'!$K$2:$K$37002,"66*")</f>
        <v>0</v>
      </c>
    </row>
    <row r="709" spans="1:5" x14ac:dyDescent="0.2">
      <c r="A709" s="522" t="s">
        <v>990</v>
      </c>
      <c r="B709" s="522" t="s">
        <v>992</v>
      </c>
      <c r="C709" s="522">
        <v>3400</v>
      </c>
      <c r="D709" s="522">
        <v>6600</v>
      </c>
      <c r="E709" s="523">
        <f>SUMIFS('Accounting data'!$G$2:$G$37002,'Accounting data'!$I$2:$I$37002,"7*",'Accounting data'!$J$2:$J$37002,"34*",'Accounting data'!$K$2:$K$37002,"66*")+SUMIFS('Accounting data'!$G$2:$G$37002,'Accounting data'!$I$2:$I$37002,"8*",'Accounting data'!$J$2:$J$37002,"34*",'Accounting data'!$K$2:$K$37002,"66*")+SUMIFS('Accounting data'!$G$2:$G$37002,'Accounting data'!$I$2:$I$37002,"9*",'Accounting data'!$J$2:$J$37002,"34*",'Accounting data'!$K$2:$K$37002,"66*")</f>
        <v>0</v>
      </c>
    </row>
    <row r="710" spans="1:5" x14ac:dyDescent="0.2">
      <c r="A710" s="524" t="s">
        <v>991</v>
      </c>
      <c r="B710" s="522" t="s">
        <v>992</v>
      </c>
      <c r="C710" s="522">
        <v>3400</v>
      </c>
      <c r="D710" s="522">
        <v>6600</v>
      </c>
      <c r="E710" s="523">
        <f>SUMIFS('Accounting data'!$G$2:$G$37002,'Accounting data'!$H$2:$H$37002,"9999*",'Accounting data'!$I$2:$I$37002,"7*",'Accounting data'!$J$2:$J$37002,"34*",'Accounting data'!$K$2:$K$37002,"66*")+SUMIFS('Accounting data'!$G$2:$G$37002,'Accounting data'!$H$2:$H$37002,"9999*",'Accounting data'!$I$2:$I$37002,"8*",'Accounting data'!$J$2:$J$37002,"34*",'Accounting data'!$K$2:$K$37002,"66*")+SUMIFS('Accounting data'!$G$2:$G$37002,'Accounting data'!$H$2:$H$37002,"9999*",'Accounting data'!$I$2:$I$37002,"9*",'Accounting data'!$J$2:$J$37002,"34*",'Accounting data'!$K$2:$K$37002,"66*")</f>
        <v>0</v>
      </c>
    </row>
    <row r="711" spans="1:5" x14ac:dyDescent="0.2">
      <c r="A711" s="522"/>
      <c r="B711" s="522"/>
      <c r="C711" s="522"/>
      <c r="D711" s="522"/>
      <c r="E711" s="523"/>
    </row>
    <row r="712" spans="1:5" x14ac:dyDescent="0.2">
      <c r="A712" s="522"/>
      <c r="B712" s="522"/>
      <c r="C712" s="522"/>
      <c r="D712" s="522"/>
      <c r="E712" s="523"/>
    </row>
    <row r="713" spans="1:5" x14ac:dyDescent="0.2">
      <c r="A713" s="525" t="s">
        <v>1050</v>
      </c>
      <c r="B713" s="525"/>
      <c r="C713" s="525"/>
      <c r="D713" s="525"/>
      <c r="E713" s="527">
        <f>(E707-E708-E709)+(E710+E711+E712)</f>
        <v>0</v>
      </c>
    </row>
    <row r="714" spans="1:5" x14ac:dyDescent="0.2">
      <c r="A714" s="522" t="s">
        <v>990</v>
      </c>
      <c r="B714" s="522" t="s">
        <v>990</v>
      </c>
      <c r="C714" s="522">
        <v>4000</v>
      </c>
      <c r="D714" s="522">
        <v>6600</v>
      </c>
      <c r="E714" s="523">
        <f>SUMIFS('Accounting data'!$G$2:$G$37002,'Accounting data'!$J$2:$J$37002,"4*",'Accounting data'!$K$2:$K$37002,"66*")</f>
        <v>0</v>
      </c>
    </row>
    <row r="715" spans="1:5" x14ac:dyDescent="0.2">
      <c r="A715" s="522" t="s">
        <v>991</v>
      </c>
      <c r="B715" s="522" t="s">
        <v>990</v>
      </c>
      <c r="C715" s="522">
        <v>4000</v>
      </c>
      <c r="D715" s="522">
        <v>6600</v>
      </c>
      <c r="E715" s="523">
        <f>SUMIFS('Accounting data'!$G$2:$G$37002,'Accounting data'!$H$2:$H$37002,"9999*",'Accounting data'!$J$2:$J$37002,"4*",'Accounting data'!$K$2:$K$37002,"66*")</f>
        <v>0</v>
      </c>
    </row>
    <row r="716" spans="1:5" x14ac:dyDescent="0.2">
      <c r="A716" s="522" t="s">
        <v>990</v>
      </c>
      <c r="B716" s="522" t="s">
        <v>992</v>
      </c>
      <c r="C716" s="522">
        <v>4000</v>
      </c>
      <c r="D716" s="522">
        <v>6600</v>
      </c>
      <c r="E716" s="523">
        <f>SUMIFS('Accounting data'!$G$2:$G$37002,'Accounting data'!$I$2:$I$37002,"7*",'Accounting data'!$J$2:$J$37002,"4*",'Accounting data'!$K$2:$K$37002,"66*")+SUMIFS('Accounting data'!$G$2:$G$37002,'Accounting data'!$I$2:$I$37002,"8*",'Accounting data'!$J$2:$J$37002,"4*",'Accounting data'!$K$2:$K$37002,"66*")+SUMIFS('Accounting data'!$G$2:$G$37002,'Accounting data'!$I$2:$I$37002,"9*",'Accounting data'!$J$2:$J$37002,"4*",'Accounting data'!$K$2:$K$37002,"66*")</f>
        <v>0</v>
      </c>
    </row>
    <row r="717" spans="1:5" x14ac:dyDescent="0.2">
      <c r="A717" s="524" t="s">
        <v>991</v>
      </c>
      <c r="B717" s="522" t="s">
        <v>992</v>
      </c>
      <c r="C717" s="522">
        <v>4000</v>
      </c>
      <c r="D717" s="522">
        <v>6600</v>
      </c>
      <c r="E717" s="523">
        <f>SUMIFS('Accounting data'!$G$2:$G$37002,'Accounting data'!$H$2:$H$37002,"9999*",'Accounting data'!$I$2:$I$37002,"7*",'Accounting data'!$J$2:$J$37002,"4*",'Accounting data'!$K$2:$K$37002,"66*")+SUMIFS('Accounting data'!$G$2:$G$37002,'Accounting data'!$H$2:$H$37002,"9999*",'Accounting data'!$I$2:$I$37002,"8*",'Accounting data'!$J$2:$J$37002,"4*",'Accounting data'!$K$2:$K$37002,"66*")+SUMIFS('Accounting data'!$G$2:$G$37002,'Accounting data'!$H$2:$H$37002,"9999*",'Accounting data'!$I$2:$I$37002,"9*",'Accounting data'!$J$2:$J$37002,"4*",'Accounting data'!$K$2:$K$37002,"66*")</f>
        <v>0</v>
      </c>
    </row>
    <row r="718" spans="1:5" x14ac:dyDescent="0.2">
      <c r="A718" s="522"/>
      <c r="B718" s="522"/>
      <c r="C718" s="522"/>
      <c r="D718" s="522"/>
      <c r="E718" s="523"/>
    </row>
    <row r="719" spans="1:5" x14ac:dyDescent="0.2">
      <c r="A719" s="522"/>
      <c r="B719" s="522"/>
      <c r="C719" s="522"/>
      <c r="D719" s="522"/>
      <c r="E719" s="523"/>
    </row>
    <row r="720" spans="1:5" x14ac:dyDescent="0.2">
      <c r="A720" s="525" t="s">
        <v>1051</v>
      </c>
      <c r="B720" s="525"/>
      <c r="C720" s="525"/>
      <c r="D720" s="525"/>
      <c r="E720" s="527">
        <f>(E714-E715-E716)+(E717+E718+E719)</f>
        <v>0</v>
      </c>
    </row>
    <row r="721" spans="1:5" x14ac:dyDescent="0.2">
      <c r="A721" s="533" t="s">
        <v>1052</v>
      </c>
      <c r="B721" s="533"/>
      <c r="C721" s="533"/>
      <c r="D721" s="533"/>
      <c r="E721" s="534">
        <f>E636+E643+E650+E657+E664+E671+E678+E685+E692+E699+E706+E713</f>
        <v>1443866</v>
      </c>
    </row>
    <row r="722" spans="1:5" x14ac:dyDescent="0.2">
      <c r="A722" s="522" t="s">
        <v>1006</v>
      </c>
      <c r="B722" s="522" t="s">
        <v>990</v>
      </c>
      <c r="C722" s="522">
        <v>1000</v>
      </c>
      <c r="D722" s="522">
        <v>6600</v>
      </c>
      <c r="E722" s="523">
        <f>SUMIFS('Accounting data'!$G$2:$G$37002,'Accounting data'!$H$2:$H$37002,"11*",'Accounting data'!$J$2:$J$37002,"1*",'Accounting data'!$K$2:$K$37002,"66*")+SUMIFS('Accounting data'!$G$2:$G$37002,'Accounting data'!$H$2:$H$37002,"12*",'Accounting data'!$J$2:$J$37002,"1*",'Accounting data'!$K$2:$K$37002,"66*")+SUMIFS('Accounting data'!$G$2:$G$37002,'Accounting data'!$H$2:$H$37002,"13*",'Accounting data'!$J$2:$J$37002,"1*",'Accounting data'!$K$2:$K$37002,"66*")</f>
        <v>0</v>
      </c>
    </row>
    <row r="723" spans="1:5" x14ac:dyDescent="0.2">
      <c r="A723" s="522" t="s">
        <v>1006</v>
      </c>
      <c r="B723" s="522" t="s">
        <v>990</v>
      </c>
      <c r="C723" s="522">
        <v>2000</v>
      </c>
      <c r="D723" s="522">
        <v>6600</v>
      </c>
      <c r="E723" s="523">
        <f>SUMIFS('Accounting data'!$G$2:$G$37002,'Accounting data'!$H$2:$H$37002,"11*",'Accounting data'!$J$2:$J$37002,"2*",'Accounting data'!$K$2:$K$37002,"66*")+SUMIFS('Accounting data'!$G$2:$G$37002,'Accounting data'!$H$2:$H$37002,"12*",'Accounting data'!$J$2:$J$37002,"2*",'Accounting data'!$K$2:$K$37002,"66*")+SUMIFS('Accounting data'!$G$2:$G$37002,'Accounting data'!$H$2:$H$37002,"13*",'Accounting data'!$J$2:$J$37002,"2*",'Accounting data'!$K$2:$K$37002,"66*")</f>
        <v>0</v>
      </c>
    </row>
    <row r="724" spans="1:5" x14ac:dyDescent="0.2">
      <c r="A724" s="522" t="s">
        <v>1006</v>
      </c>
      <c r="B724" s="522" t="s">
        <v>990</v>
      </c>
      <c r="C724" s="522">
        <v>3000</v>
      </c>
      <c r="D724" s="522">
        <v>6600</v>
      </c>
      <c r="E724" s="523">
        <f>SUMIFS('Accounting data'!$G$2:$G$37002,'Accounting data'!$H$2:$H$37002,"11*",'Accounting data'!$J$2:$J$37002,"3*",'Accounting data'!$K$2:$K$37002,"66*")+SUMIFS('Accounting data'!$G$2:$G$37002,'Accounting data'!$H$2:$H$37002,"12*",'Accounting data'!$J$2:$J$37002,"3*",'Accounting data'!$K$2:$K$37002,"66*")+SUMIFS('Accounting data'!$G$2:$G$37002,'Accounting data'!$H$2:$H$37002,"13*",'Accounting data'!$J$2:$J$37002,"3*",'Accounting data'!$K$2:$K$37002,"66*")</f>
        <v>0</v>
      </c>
    </row>
    <row r="725" spans="1:5" x14ac:dyDescent="0.2">
      <c r="A725" s="522" t="s">
        <v>1006</v>
      </c>
      <c r="B725" s="524">
        <v>700</v>
      </c>
      <c r="C725" s="522">
        <v>1000</v>
      </c>
      <c r="D725" s="522">
        <v>6600</v>
      </c>
      <c r="E725" s="523">
        <f>SUMIFS('Accounting data'!$G$2:$G$37002,'Accounting data'!$H$2:$H$37002,"11*",'Accounting data'!$I$2:$I$37002,"7*",'Accounting data'!$J$2:$J$37002,"1*",'Accounting data'!$K$2:$K$37002,"66*")+SUMIFS('Accounting data'!$G$2:$G$37002,'Accounting data'!$H$2:$H$37002,"12*",'Accounting data'!$I$2:$I$37002,"7*",'Accounting data'!$J$2:$J$37002,"1*",'Accounting data'!$K$2:$K$37002,"66*")+SUMIFS('Accounting data'!$G$2:$G$37002,'Accounting data'!$H$2:$H$37002,"13*",'Accounting data'!$I$2:$I$37002,"7*",'Accounting data'!$J$2:$J$37002,"1*",'Accounting data'!$K$2:$K$37002,"66*")</f>
        <v>0</v>
      </c>
    </row>
    <row r="726" spans="1:5" x14ac:dyDescent="0.2">
      <c r="A726" s="522" t="s">
        <v>1006</v>
      </c>
      <c r="B726" s="524">
        <v>800</v>
      </c>
      <c r="C726" s="522">
        <v>1000</v>
      </c>
      <c r="D726" s="522">
        <v>6600</v>
      </c>
      <c r="E726" s="523">
        <f>SUMIFS('Accounting data'!$G$2:$G$37002,'Accounting data'!$H$2:$H$37002,"11*",'Accounting data'!$I$2:$I$37002,"8*",'Accounting data'!$J$2:$J$37002,"1*",'Accounting data'!$K$2:$K$37002,"66*")+SUMIFS('Accounting data'!$G$2:$G$37002,'Accounting data'!$H$2:$H$37002,"12*",'Accounting data'!$I$2:$I$37002,"8*",'Accounting data'!$J$2:$J$37002,"1*",'Accounting data'!$K$2:$K$37002,"66*")+SUMIFS('Accounting data'!$G$2:$G$37002,'Accounting data'!$H$2:$H$37002,"13*",'Accounting data'!$I$2:$I$37002,"8*",'Accounting data'!$J$2:$J$37002,"1*",'Accounting data'!$K$2:$K$37002,"66*")</f>
        <v>0</v>
      </c>
    </row>
    <row r="727" spans="1:5" x14ac:dyDescent="0.2">
      <c r="A727" s="522" t="s">
        <v>1006</v>
      </c>
      <c r="B727" s="524">
        <v>900</v>
      </c>
      <c r="C727" s="522">
        <v>1000</v>
      </c>
      <c r="D727" s="522">
        <v>6600</v>
      </c>
      <c r="E727" s="523">
        <f>SUMIFS('Accounting data'!$G$2:$G$37002,'Accounting data'!$H$2:$H$37002,"11*",'Accounting data'!$I$2:$I$37002,"9*",'Accounting data'!$J$2:$J$37002,"1*",'Accounting data'!$K$2:$K$37002,"66*")+SUMIFS('Accounting data'!$G$2:$G$37002,'Accounting data'!$H$2:$H$37002,"12*",'Accounting data'!$I$2:$I$37002,"9*",'Accounting data'!$J$2:$J$37002,"1*",'Accounting data'!$K$2:$K$37002,"66*")+SUMIFS('Accounting data'!$G$2:$G$37002,'Accounting data'!$H$2:$H$37002,"13*",'Accounting data'!$I$2:$I$37002,"9*",'Accounting data'!$J$2:$J$37002,"1*",'Accounting data'!$K$2:$K$37002,"66*")</f>
        <v>0</v>
      </c>
    </row>
    <row r="728" spans="1:5" x14ac:dyDescent="0.2">
      <c r="A728" s="522" t="s">
        <v>1006</v>
      </c>
      <c r="B728" s="524">
        <v>700</v>
      </c>
      <c r="C728" s="522">
        <v>2000</v>
      </c>
      <c r="D728" s="522">
        <v>6600</v>
      </c>
      <c r="E728" s="523">
        <f>SUMIFS('Accounting data'!$G$2:$G$37002,'Accounting data'!$H$2:$H$37002,"11*",'Accounting data'!$I$2:$I$37002,"7*",'Accounting data'!$J$2:$J$37002,"2*",'Accounting data'!$K$2:$K$37002,"66*")+SUMIFS('Accounting data'!$G$2:$G$37002,'Accounting data'!$H$2:$H$37002,"12*",'Accounting data'!$I$2:$I$37002,"7*",'Accounting data'!$J$2:$J$37002,"2*",'Accounting data'!$K$2:$K$37002,"66*")+SUMIFS('Accounting data'!$G$2:$G$37002,'Accounting data'!$H$2:$H$37002,"13*",'Accounting data'!$I$2:$I$37002,"7*",'Accounting data'!$J$2:$J$37002,"2*",'Accounting data'!$K$2:$K$37002,"66*")</f>
        <v>0</v>
      </c>
    </row>
    <row r="729" spans="1:5" x14ac:dyDescent="0.2">
      <c r="A729" s="522" t="s">
        <v>1006</v>
      </c>
      <c r="B729" s="524">
        <v>800</v>
      </c>
      <c r="C729" s="522">
        <v>2000</v>
      </c>
      <c r="D729" s="522">
        <v>6600</v>
      </c>
      <c r="E729" s="523">
        <f>SUMIFS('Accounting data'!$G$2:$G$37002,'Accounting data'!$H$2:$H$37002,"11*",'Accounting data'!$I$2:$I$37002,"8*",'Accounting data'!$J$2:$J$37002,"2*",'Accounting data'!$K$2:$K$37002,"66*")+SUMIFS('Accounting data'!$G$2:$G$37002,'Accounting data'!$H$2:$H$37002,"12*",'Accounting data'!$I$2:$I$37002,"8*",'Accounting data'!$J$2:$J$37002,"2*",'Accounting data'!$K$2:$K$37002,"66*")+SUMIFS('Accounting data'!$G$2:$G$37002,'Accounting data'!$H$2:$H$37002,"13*",'Accounting data'!$I$2:$I$37002,"8*",'Accounting data'!$J$2:$J$37002,"2*",'Accounting data'!$K$2:$K$37002,"66*")</f>
        <v>0</v>
      </c>
    </row>
    <row r="730" spans="1:5" x14ac:dyDescent="0.2">
      <c r="A730" s="522" t="s">
        <v>1006</v>
      </c>
      <c r="B730" s="524">
        <v>900</v>
      </c>
      <c r="C730" s="522">
        <v>2000</v>
      </c>
      <c r="D730" s="522">
        <v>6600</v>
      </c>
      <c r="E730" s="523">
        <f>SUMIFS('Accounting data'!$G$2:$G$37002,'Accounting data'!$H$2:$H$37002,"11*",'Accounting data'!$I$2:$I$37002,"9*",'Accounting data'!$J$2:$J$37002,"2*",'Accounting data'!$K$2:$K$37002,"66*")+SUMIFS('Accounting data'!$G$2:$G$37002,'Accounting data'!$H$2:$H$37002,"12*",'Accounting data'!$I$2:$I$37002,"9*",'Accounting data'!$J$2:$J$37002,"2*",'Accounting data'!$K$2:$K$37002,"66*")+SUMIFS('Accounting data'!$G$2:$G$37002,'Accounting data'!$H$2:$H$37002,"13*",'Accounting data'!$I$2:$I$37002,"9*",'Accounting data'!$J$2:$J$37002,"2*",'Accounting data'!$K$2:$K$37002,"66*")</f>
        <v>0</v>
      </c>
    </row>
    <row r="731" spans="1:5" x14ac:dyDescent="0.2">
      <c r="A731" s="522" t="s">
        <v>1006</v>
      </c>
      <c r="B731" s="524">
        <v>700</v>
      </c>
      <c r="C731" s="522">
        <v>3000</v>
      </c>
      <c r="D731" s="522">
        <v>6600</v>
      </c>
      <c r="E731" s="523">
        <f>SUMIFS('Accounting data'!$G$2:$G$37002,'Accounting data'!$H$2:$H$37002,"11*",'Accounting data'!$I$2:$I$37002,"7*",'Accounting data'!$J$2:$J$37002,"3*",'Accounting data'!$K$2:$K$37002,"66*")+SUMIFS('Accounting data'!$G$2:$G$37002,'Accounting data'!$H$2:$H$37002,"12*",'Accounting data'!$I$2:$I$37002,"7*",'Accounting data'!$J$2:$J$37002,"3*",'Accounting data'!$K$2:$K$37002,"66*")+SUMIFS('Accounting data'!$G$2:$G$37002,'Accounting data'!$H$2:$H$37002,"13*",'Accounting data'!$I$2:$I$37002,"7*",'Accounting data'!$J$2:$J$37002,"3*",'Accounting data'!$K$2:$K$37002,"66*")</f>
        <v>0</v>
      </c>
    </row>
    <row r="732" spans="1:5" x14ac:dyDescent="0.2">
      <c r="A732" s="522" t="s">
        <v>1006</v>
      </c>
      <c r="B732" s="524">
        <v>800</v>
      </c>
      <c r="C732" s="522">
        <v>3000</v>
      </c>
      <c r="D732" s="522">
        <v>6600</v>
      </c>
      <c r="E732" s="523">
        <f>SUMIFS('Accounting data'!$G$2:$G$37002,'Accounting data'!$H$2:$H$37002,"11*",'Accounting data'!$I$2:$I$37002,"8*",'Accounting data'!$J$2:$J$37002,"3*",'Accounting data'!$K$2:$K$37002,"66*")+SUMIFS('Accounting data'!$G$2:$G$37002,'Accounting data'!$H$2:$H$37002,"12*",'Accounting data'!$I$2:$I$37002,"8*",'Accounting data'!$J$2:$J$37002,"3*",'Accounting data'!$K$2:$K$37002,"66*")+SUMIFS('Accounting data'!$G$2:$G$37002,'Accounting data'!$H$2:$H$37002,"13*",'Accounting data'!$I$2:$I$37002,"8*",'Accounting data'!$J$2:$J$37002,"3*",'Accounting data'!$K$2:$K$37002,"66*")</f>
        <v>0</v>
      </c>
    </row>
    <row r="733" spans="1:5" x14ac:dyDescent="0.2">
      <c r="A733" s="522" t="s">
        <v>1006</v>
      </c>
      <c r="B733" s="524">
        <v>900</v>
      </c>
      <c r="C733" s="522">
        <v>3000</v>
      </c>
      <c r="D733" s="522">
        <v>6600</v>
      </c>
      <c r="E733" s="523">
        <f>SUMIFS('Accounting data'!$G$2:$G$37002,'Accounting data'!$H$2:$H$37002,"11*",'Accounting data'!$I$2:$I$37002,"9*",'Accounting data'!$J$2:$J$37002,"3*",'Accounting data'!$K$2:$K$37002,"66*")+SUMIFS('Accounting data'!$G$2:$G$37002,'Accounting data'!$H$2:$H$37002,"12*",'Accounting data'!$I$2:$I$37002,"9*",'Accounting data'!$J$2:$J$37002,"3*",'Accounting data'!$K$2:$K$37002,"66*")+SUMIFS('Accounting data'!$G$2:$G$37002,'Accounting data'!$H$2:$H$37002,"13*",'Accounting data'!$I$2:$I$37002,"9*",'Accounting data'!$J$2:$J$37002,"3*",'Accounting data'!$K$2:$K$37002,"66*")</f>
        <v>0</v>
      </c>
    </row>
    <row r="734" spans="1:5" x14ac:dyDescent="0.2">
      <c r="A734" s="525" t="s">
        <v>1053</v>
      </c>
      <c r="B734" s="525"/>
      <c r="C734" s="525"/>
      <c r="D734" s="525"/>
      <c r="E734" s="527">
        <f>(E722+E723+E724)-(E725+E726+E727+E728+E729+E730+E731+E732+E733)</f>
        <v>0</v>
      </c>
    </row>
    <row r="945" spans="1:5" x14ac:dyDescent="0.2">
      <c r="A945" s="522" t="s">
        <v>990</v>
      </c>
      <c r="B945" s="522" t="s">
        <v>990</v>
      </c>
      <c r="C945" s="522">
        <v>1000</v>
      </c>
      <c r="D945" s="531">
        <v>6810</v>
      </c>
      <c r="E945" s="523">
        <f>SUMIFS('Accounting data'!$G$2:$G$37002,'Accounting data'!$J$2:$J$37002,"1*",'Accounting data'!$K$2:$K$37002,"681*")</f>
        <v>547</v>
      </c>
    </row>
    <row r="946" spans="1:5" x14ac:dyDescent="0.2">
      <c r="A946" s="522" t="s">
        <v>991</v>
      </c>
      <c r="B946" s="522" t="s">
        <v>990</v>
      </c>
      <c r="C946" s="522">
        <v>1000</v>
      </c>
      <c r="D946" s="531">
        <v>6810</v>
      </c>
      <c r="E946" s="523">
        <f>SUMIFS('Accounting data'!$G$2:$G$37002,'Accounting data'!$H$2:$H$37002,"9999*",'Accounting data'!$J$2:$J$37002,"1*",'Accounting data'!$K$2:$K$37002,"681*")</f>
        <v>0</v>
      </c>
    </row>
    <row r="947" spans="1:5" x14ac:dyDescent="0.2">
      <c r="A947" s="522" t="s">
        <v>990</v>
      </c>
      <c r="B947" s="522" t="s">
        <v>992</v>
      </c>
      <c r="C947" s="522">
        <v>1000</v>
      </c>
      <c r="D947" s="531">
        <v>6810</v>
      </c>
      <c r="E947" s="523">
        <f>SUMIFS('Accounting data'!$G$2:$G$37002,'Accounting data'!$I$2:$I$37002,"7*",'Accounting data'!$J$2:$J$37002,"1*",'Accounting data'!$K$2:$K$37002,"681*")+SUMIFS('Accounting data'!$G$2:$G$37002,'Accounting data'!$I$2:$I$37002,"8*",'Accounting data'!$J$2:$J$37002,"1*",'Accounting data'!$K$2:$K$37002,"681*")+SUMIFS('Accounting data'!$G$2:$G$37002,'Accounting data'!$I$2:$I$37002,"9*",'Accounting data'!$J$2:$J$37002,"1*",'Accounting data'!$K$2:$K$37002,"681*")</f>
        <v>0</v>
      </c>
    </row>
    <row r="948" spans="1:5" x14ac:dyDescent="0.2">
      <c r="A948" s="524" t="s">
        <v>991</v>
      </c>
      <c r="B948" s="522" t="s">
        <v>992</v>
      </c>
      <c r="C948" s="522">
        <v>1000</v>
      </c>
      <c r="D948" s="531">
        <v>6810</v>
      </c>
      <c r="E948" s="523">
        <f>SUMIFS('Accounting data'!$G$2:$G$37002,'Accounting data'!$H$2:$H$37002,"9999*",'Accounting data'!$I$2:$I$37002,"7*",'Accounting data'!$J$2:$J$37002,"1*",'Accounting data'!$K$2:$K$37002,"681*")+SUMIFS('Accounting data'!$G$2:$G$37002,'Accounting data'!$H$2:$H$37002,"9999*",'Accounting data'!$I$2:$I$37002,"8*",'Accounting data'!$J$2:$J$37002,"1*",'Accounting data'!$K$2:$K$37002,"681*")+SUMIFS('Accounting data'!$G$2:$G$37002,'Accounting data'!$H$2:$H$37002,"9999*",'Accounting data'!$I$2:$I$37002,"9*",'Accounting data'!$J$2:$J$37002,"1*",'Accounting data'!$K$2:$K$37002,"681*")</f>
        <v>0</v>
      </c>
    </row>
    <row r="949" spans="1:5" x14ac:dyDescent="0.2">
      <c r="A949" s="522"/>
      <c r="B949" s="522"/>
      <c r="C949" s="522"/>
      <c r="D949" s="531"/>
      <c r="E949" s="523"/>
    </row>
    <row r="950" spans="1:5" x14ac:dyDescent="0.2">
      <c r="A950" s="522"/>
      <c r="B950" s="522"/>
      <c r="C950" s="522"/>
      <c r="D950" s="531"/>
      <c r="E950" s="523"/>
    </row>
    <row r="951" spans="1:5" x14ac:dyDescent="0.2">
      <c r="A951" s="525" t="s">
        <v>1054</v>
      </c>
      <c r="B951" s="525"/>
      <c r="C951" s="525"/>
      <c r="D951" s="525"/>
      <c r="E951" s="527">
        <f>((E945-E946-E947)+(E948+E949+E950))</f>
        <v>547</v>
      </c>
    </row>
    <row r="952" spans="1:5" x14ac:dyDescent="0.2">
      <c r="A952" s="522" t="s">
        <v>990</v>
      </c>
      <c r="B952" s="522" t="s">
        <v>990</v>
      </c>
      <c r="C952" s="522">
        <v>2100</v>
      </c>
      <c r="D952" s="531">
        <v>6810</v>
      </c>
      <c r="E952" s="523">
        <f>SUMIFS('Accounting data'!$G$2:$G$37002,'Accounting data'!$J$2:$J$37002,"21*",'Accounting data'!$K$2:$K$37002,"681*")</f>
        <v>0</v>
      </c>
    </row>
    <row r="953" spans="1:5" x14ac:dyDescent="0.2">
      <c r="A953" s="522" t="s">
        <v>991</v>
      </c>
      <c r="B953" s="522" t="s">
        <v>990</v>
      </c>
      <c r="C953" s="522">
        <v>2100</v>
      </c>
      <c r="D953" s="531">
        <v>6810</v>
      </c>
      <c r="E953" s="523">
        <f>SUMIFS('Accounting data'!$G$2:$G$37002,'Accounting data'!$H$2:$H$37002,"9999*",'Accounting data'!$J$2:$J$37002,"21*",'Accounting data'!$K$2:$K$37002,"681*")</f>
        <v>0</v>
      </c>
    </row>
    <row r="954" spans="1:5" x14ac:dyDescent="0.2">
      <c r="A954" s="522" t="s">
        <v>990</v>
      </c>
      <c r="B954" s="522" t="s">
        <v>992</v>
      </c>
      <c r="C954" s="522">
        <v>2100</v>
      </c>
      <c r="D954" s="531">
        <v>6810</v>
      </c>
      <c r="E954" s="523">
        <f>SUMIFS('Accounting data'!$G$2:$G$37002,'Accounting data'!$I$2:$I$37002,"7*",'Accounting data'!$J$2:$J$37002,"21*",'Accounting data'!$K$2:$K$37002,"681*")+SUMIFS('Accounting data'!$G$2:$G$37002,'Accounting data'!$I$2:$I$37002,"8*",'Accounting data'!$J$2:$J$37002,"21*",'Accounting data'!$K$2:$K$37002,"681*")+SUMIFS('Accounting data'!$G$2:$G$37002,'Accounting data'!$I$2:$I$37002,"9*",'Accounting data'!$J$2:$J$37002,"21*",'Accounting data'!$K$2:$K$37002,"681*")</f>
        <v>0</v>
      </c>
    </row>
    <row r="955" spans="1:5" x14ac:dyDescent="0.2">
      <c r="A955" s="524" t="s">
        <v>991</v>
      </c>
      <c r="B955" s="522" t="s">
        <v>992</v>
      </c>
      <c r="C955" s="522">
        <v>2100</v>
      </c>
      <c r="D955" s="531">
        <v>6810</v>
      </c>
      <c r="E955" s="523">
        <f>SUMIFS('Accounting data'!$G$2:$G$37002,'Accounting data'!$H$2:$H$37002,"9999*",'Accounting data'!$I$2:$I$37002,"7*",'Accounting data'!$J$2:$J$37002,"21*",'Accounting data'!$K$2:$K$37002,"681*")+SUMIFS('Accounting data'!$G$2:$G$37002,'Accounting data'!$H$2:$H$37002,"9999*",'Accounting data'!$I$2:$I$37002,"8*",'Accounting data'!$J$2:$J$37002,"21*",'Accounting data'!$K$2:$K$37002,"681*")+SUMIFS('Accounting data'!$G$2:$G$37002,'Accounting data'!$H$2:$H$37002,"9999*",'Accounting data'!$I$2:$I$37002,"9*",'Accounting data'!$J$2:$J$37002,"21*",'Accounting data'!$K$2:$K$37002,"681*")</f>
        <v>0</v>
      </c>
    </row>
    <row r="956" spans="1:5" x14ac:dyDescent="0.2">
      <c r="A956" s="522"/>
      <c r="B956" s="522"/>
      <c r="C956" s="522"/>
      <c r="D956" s="531"/>
      <c r="E956" s="523"/>
    </row>
    <row r="957" spans="1:5" x14ac:dyDescent="0.2">
      <c r="A957" s="522"/>
      <c r="B957" s="522"/>
      <c r="C957" s="522"/>
      <c r="D957" s="531"/>
      <c r="E957" s="523"/>
    </row>
    <row r="958" spans="1:5" x14ac:dyDescent="0.2">
      <c r="A958" s="525" t="s">
        <v>1055</v>
      </c>
      <c r="B958" s="525"/>
      <c r="C958" s="525"/>
      <c r="D958" s="525"/>
      <c r="E958" s="527">
        <f>(E952-E953-E954)+(E955+E956+E957)</f>
        <v>0</v>
      </c>
    </row>
    <row r="959" spans="1:5" x14ac:dyDescent="0.2">
      <c r="A959" s="522" t="s">
        <v>990</v>
      </c>
      <c r="B959" s="522" t="s">
        <v>990</v>
      </c>
      <c r="C959" s="522">
        <v>2200</v>
      </c>
      <c r="D959" s="531">
        <v>6810</v>
      </c>
      <c r="E959" s="523">
        <f>SUMIFS('Accounting data'!$G$2:$G$37002,'Accounting data'!$J$2:$J$37002,"22*",'Accounting data'!$K$2:$K$37002,"681*")</f>
        <v>0</v>
      </c>
    </row>
    <row r="960" spans="1:5" x14ac:dyDescent="0.2">
      <c r="A960" s="522" t="s">
        <v>991</v>
      </c>
      <c r="B960" s="522" t="s">
        <v>990</v>
      </c>
      <c r="C960" s="522">
        <v>2200</v>
      </c>
      <c r="D960" s="531">
        <v>6810</v>
      </c>
      <c r="E960" s="523">
        <f>SUMIFS('Accounting data'!$G$2:$G$37002,'Accounting data'!$H$2:$H$37002,"9999*",'Accounting data'!$J$2:$J$37002,"22*",'Accounting data'!$K$2:$K$37002,"681*")</f>
        <v>0</v>
      </c>
    </row>
    <row r="961" spans="1:5" x14ac:dyDescent="0.2">
      <c r="A961" s="522" t="s">
        <v>990</v>
      </c>
      <c r="B961" s="522" t="s">
        <v>992</v>
      </c>
      <c r="C961" s="522">
        <v>2200</v>
      </c>
      <c r="D961" s="531">
        <v>6810</v>
      </c>
      <c r="E961" s="523">
        <f>SUMIFS('Accounting data'!$G$2:$G$37002,'Accounting data'!$I$2:$I$37002,"7*",'Accounting data'!$J$2:$J$37002,"22*",'Accounting data'!$K$2:$K$37002,"681*")+SUMIFS('Accounting data'!$G$2:$G$37002,'Accounting data'!$I$2:$I$37002,"8*",'Accounting data'!$J$2:$J$37002,"22*",'Accounting data'!$K$2:$K$37002,"681*")+SUMIFS('Accounting data'!$G$2:$G$37002,'Accounting data'!$I$2:$I$37002,"9*",'Accounting data'!$J$2:$J$37002,"22*",'Accounting data'!$K$2:$K$37002,"681*")</f>
        <v>0</v>
      </c>
    </row>
    <row r="962" spans="1:5" x14ac:dyDescent="0.2">
      <c r="A962" s="524" t="s">
        <v>991</v>
      </c>
      <c r="B962" s="522" t="s">
        <v>992</v>
      </c>
      <c r="C962" s="522">
        <v>2200</v>
      </c>
      <c r="D962" s="531">
        <v>6810</v>
      </c>
      <c r="E962" s="523">
        <f>SUMIFS('Accounting data'!$G$2:$G$37002,'Accounting data'!$H$2:$H$37002,"9999*",'Accounting data'!$I$2:$I$37002,"7*",'Accounting data'!$J$2:$J$37002,"22*",'Accounting data'!$K$2:$K$37002,"681*")+SUMIFS('Accounting data'!$G$2:$G$37002,'Accounting data'!$H$2:$H$37002,"9999*",'Accounting data'!$I$2:$I$37002,"8*",'Accounting data'!$J$2:$J$37002,"22*",'Accounting data'!$K$2:$K$37002,"681*")+SUMIFS('Accounting data'!$G$2:$G$37002,'Accounting data'!$H$2:$H$37002,"9999*",'Accounting data'!$I$2:$I$37002,"9*",'Accounting data'!$J$2:$J$37002,"22*",'Accounting data'!$K$2:$K$37002,"681*")</f>
        <v>0</v>
      </c>
    </row>
    <row r="963" spans="1:5" x14ac:dyDescent="0.2">
      <c r="A963" s="522"/>
      <c r="B963" s="522"/>
      <c r="C963" s="522"/>
      <c r="D963" s="531"/>
      <c r="E963" s="523"/>
    </row>
    <row r="964" spans="1:5" x14ac:dyDescent="0.2">
      <c r="A964" s="522"/>
      <c r="B964" s="522"/>
      <c r="C964" s="522"/>
      <c r="D964" s="531"/>
      <c r="E964" s="523"/>
    </row>
    <row r="965" spans="1:5" x14ac:dyDescent="0.2">
      <c r="A965" s="525" t="s">
        <v>1056</v>
      </c>
      <c r="B965" s="525"/>
      <c r="C965" s="525"/>
      <c r="D965" s="525"/>
      <c r="E965" s="527">
        <f>(E959-E960-E961)+(E962+E963+E964)</f>
        <v>0</v>
      </c>
    </row>
    <row r="966" spans="1:5" x14ac:dyDescent="0.2">
      <c r="A966" s="522" t="s">
        <v>990</v>
      </c>
      <c r="B966" s="522" t="s">
        <v>990</v>
      </c>
      <c r="C966" s="522">
        <v>2300</v>
      </c>
      <c r="D966" s="531">
        <v>6810</v>
      </c>
      <c r="E966" s="523">
        <f>SUMIFS('Accounting data'!$G$2:$G$37002,'Accounting data'!$J$2:$J$37002,"23*",'Accounting data'!$K$2:$K$37002,"681*")</f>
        <v>0</v>
      </c>
    </row>
    <row r="967" spans="1:5" x14ac:dyDescent="0.2">
      <c r="A967" s="522" t="s">
        <v>991</v>
      </c>
      <c r="B967" s="522" t="s">
        <v>990</v>
      </c>
      <c r="C967" s="522">
        <v>2300</v>
      </c>
      <c r="D967" s="531">
        <v>6810</v>
      </c>
      <c r="E967" s="523">
        <f>SUMIFS('Accounting data'!$G$2:$G$37002,'Accounting data'!$H$2:$H$37002,"9999*",'Accounting data'!$J$2:$J$37002,"23*",'Accounting data'!$K$2:$K$37002,"681*")</f>
        <v>0</v>
      </c>
    </row>
    <row r="968" spans="1:5" x14ac:dyDescent="0.2">
      <c r="A968" s="522" t="s">
        <v>990</v>
      </c>
      <c r="B968" s="522" t="s">
        <v>992</v>
      </c>
      <c r="C968" s="522">
        <v>2300</v>
      </c>
      <c r="D968" s="531">
        <v>6810</v>
      </c>
      <c r="E968" s="523">
        <f>SUMIFS('Accounting data'!$G$2:$G$37002,'Accounting data'!$I$2:$I$37002,"7*",'Accounting data'!$J$2:$J$37002,"23*",'Accounting data'!$K$2:$K$37002,"681*")+SUMIFS('Accounting data'!$G$2:$G$37002,'Accounting data'!$I$2:$I$37002,"8*",'Accounting data'!$J$2:$J$37002,"23*",'Accounting data'!$K$2:$K$37002,"681*")+SUMIFS('Accounting data'!$G$2:$G$37002,'Accounting data'!$I$2:$I$37002,"9*",'Accounting data'!$J$2:$J$37002,"23*",'Accounting data'!$K$2:$K$37002,"681*")</f>
        <v>0</v>
      </c>
    </row>
    <row r="969" spans="1:5" x14ac:dyDescent="0.2">
      <c r="A969" s="524" t="s">
        <v>991</v>
      </c>
      <c r="B969" s="522" t="s">
        <v>992</v>
      </c>
      <c r="C969" s="522">
        <v>2300</v>
      </c>
      <c r="D969" s="531">
        <v>6810</v>
      </c>
      <c r="E969" s="523">
        <f>SUMIFS('Accounting data'!$G$2:$G$37002,'Accounting data'!$H$2:$H$37002,"9999*",'Accounting data'!$I$2:$I$37002,"7*",'Accounting data'!$J$2:$J$37002,"23*",'Accounting data'!$K$2:$K$37002,"681*")+SUMIFS('Accounting data'!$G$2:$G$37002,'Accounting data'!$H$2:$H$37002,"9999*",'Accounting data'!$I$2:$I$37002,"8*",'Accounting data'!$J$2:$J$37002,"23*",'Accounting data'!$K$2:$K$37002,"681*")+SUMIFS('Accounting data'!$G$2:$G$37002,'Accounting data'!$H$2:$H$37002,"9999*",'Accounting data'!$I$2:$I$37002,"9*",'Accounting data'!$J$2:$J$37002,"23*",'Accounting data'!$K$2:$K$37002,"681*")</f>
        <v>0</v>
      </c>
    </row>
    <row r="970" spans="1:5" x14ac:dyDescent="0.2">
      <c r="A970" s="522"/>
      <c r="B970" s="522"/>
      <c r="C970" s="522"/>
      <c r="D970" s="531"/>
      <c r="E970" s="523"/>
    </row>
    <row r="971" spans="1:5" x14ac:dyDescent="0.2">
      <c r="A971" s="522"/>
      <c r="B971" s="522"/>
      <c r="C971" s="522"/>
      <c r="D971" s="531"/>
      <c r="E971" s="523"/>
    </row>
    <row r="972" spans="1:5" x14ac:dyDescent="0.2">
      <c r="A972" s="525" t="s">
        <v>1057</v>
      </c>
      <c r="B972" s="525"/>
      <c r="C972" s="525"/>
      <c r="D972" s="525"/>
      <c r="E972" s="527">
        <f>(E966-E967-E968)+(E969+E970+E971)</f>
        <v>0</v>
      </c>
    </row>
    <row r="973" spans="1:5" x14ac:dyDescent="0.2">
      <c r="A973" s="522" t="s">
        <v>990</v>
      </c>
      <c r="B973" s="522" t="s">
        <v>990</v>
      </c>
      <c r="C973" s="522">
        <v>2400</v>
      </c>
      <c r="D973" s="531">
        <v>6810</v>
      </c>
      <c r="E973" s="523">
        <f>SUMIFS('Accounting data'!$G$2:$G$37002,'Accounting data'!$J$2:$J$37002,"24*",'Accounting data'!$K$2:$K$37002,"681*")</f>
        <v>16012</v>
      </c>
    </row>
    <row r="974" spans="1:5" x14ac:dyDescent="0.2">
      <c r="A974" s="522" t="s">
        <v>991</v>
      </c>
      <c r="B974" s="522" t="s">
        <v>990</v>
      </c>
      <c r="C974" s="522">
        <v>2400</v>
      </c>
      <c r="D974" s="531">
        <v>6810</v>
      </c>
      <c r="E974" s="523">
        <f>SUMIFS('Accounting data'!$G$2:$G$37002,'Accounting data'!$H$2:$H$37002,"9999*",'Accounting data'!$J$2:$J$37002,"24*",'Accounting data'!$K$2:$K$37002,"681*")</f>
        <v>0</v>
      </c>
    </row>
    <row r="975" spans="1:5" x14ac:dyDescent="0.2">
      <c r="A975" s="522" t="s">
        <v>990</v>
      </c>
      <c r="B975" s="522" t="s">
        <v>992</v>
      </c>
      <c r="C975" s="522">
        <v>2400</v>
      </c>
      <c r="D975" s="531">
        <v>6810</v>
      </c>
      <c r="E975" s="523">
        <f>SUMIFS('Accounting data'!$G$2:$G$37002,'Accounting data'!$I$2:$I$37002,"7*",'Accounting data'!$J$2:$J$37002,"24*",'Accounting data'!$K$2:$K$37002,"681*")+SUMIFS('Accounting data'!$G$2:$G$37002,'Accounting data'!$I$2:$I$37002,"8*",'Accounting data'!$J$2:$J$37002,"24*",'Accounting data'!$K$2:$K$37002,"681*")+SUMIFS('Accounting data'!$G$2:$G$37002,'Accounting data'!$I$2:$I$37002,"9*",'Accounting data'!$J$2:$J$37002,"24*",'Accounting data'!$K$2:$K$37002,"681*")</f>
        <v>0</v>
      </c>
    </row>
    <row r="976" spans="1:5" x14ac:dyDescent="0.2">
      <c r="A976" s="524" t="s">
        <v>991</v>
      </c>
      <c r="B976" s="522" t="s">
        <v>992</v>
      </c>
      <c r="C976" s="522">
        <v>2400</v>
      </c>
      <c r="D976" s="531">
        <v>6810</v>
      </c>
      <c r="E976" s="523">
        <f>SUMIFS('Accounting data'!$G$2:$G$37002,'Accounting data'!$H$2:$H$37002,"9999*",'Accounting data'!$I$2:$I$37002,"7*",'Accounting data'!$J$2:$J$37002,"24*",'Accounting data'!$K$2:$K$37002,"681*")+SUMIFS('Accounting data'!$G$2:$G$37002,'Accounting data'!$H$2:$H$37002,"9999*",'Accounting data'!$I$2:$I$37002,"8*",'Accounting data'!$J$2:$J$37002,"24*",'Accounting data'!$K$2:$K$37002,"681*")+SUMIFS('Accounting data'!$G$2:$G$37002,'Accounting data'!$H$2:$H$37002,"9999*",'Accounting data'!$I$2:$I$37002,"9*",'Accounting data'!$J$2:$J$37002,"24*",'Accounting data'!$K$2:$K$37002,"681*")</f>
        <v>0</v>
      </c>
    </row>
    <row r="979" spans="1:5" x14ac:dyDescent="0.2">
      <c r="A979" s="525" t="s">
        <v>1058</v>
      </c>
      <c r="B979" s="525"/>
      <c r="C979" s="525"/>
      <c r="D979" s="525"/>
      <c r="E979" s="527">
        <f>(E973-E974-E975)+(E976+E977+E978)</f>
        <v>16012</v>
      </c>
    </row>
    <row r="980" spans="1:5" x14ac:dyDescent="0.2">
      <c r="A980" s="522" t="s">
        <v>990</v>
      </c>
      <c r="B980" s="522" t="s">
        <v>990</v>
      </c>
      <c r="C980" s="522">
        <v>2500</v>
      </c>
      <c r="D980" s="531">
        <v>6810</v>
      </c>
      <c r="E980" s="523">
        <f>SUMIFS('Accounting data'!$G$2:$G$37002,'Accounting data'!$J$2:$J$37002,"25*",'Accounting data'!$K$2:$K$37002,"681*")</f>
        <v>14950</v>
      </c>
    </row>
    <row r="981" spans="1:5" x14ac:dyDescent="0.2">
      <c r="A981" s="522" t="s">
        <v>991</v>
      </c>
      <c r="B981" s="522" t="s">
        <v>990</v>
      </c>
      <c r="C981" s="522">
        <v>2500</v>
      </c>
      <c r="D981" s="531">
        <v>6810</v>
      </c>
      <c r="E981" s="523">
        <f>SUMIFS('Accounting data'!$G$2:$G$37002,'Accounting data'!$H$2:$H$37002,"9999*",'Accounting data'!$J$2:$J$37002,"25*",'Accounting data'!$K$2:$K$37002,"681*")</f>
        <v>0</v>
      </c>
    </row>
    <row r="982" spans="1:5" x14ac:dyDescent="0.2">
      <c r="A982" s="522" t="s">
        <v>990</v>
      </c>
      <c r="B982" s="522" t="s">
        <v>992</v>
      </c>
      <c r="C982" s="522">
        <v>2500</v>
      </c>
      <c r="D982" s="531">
        <v>6810</v>
      </c>
      <c r="E982" s="523">
        <f>SUMIFS('Accounting data'!$G$2:$G$37002,'Accounting data'!$I$2:$I$37002,"7*",'Accounting data'!$J$2:$J$37002,"25*",'Accounting data'!$K$2:$K$37002,"681*")+SUMIFS('Accounting data'!$G$2:$G$37002,'Accounting data'!$I$2:$I$37002,"8*",'Accounting data'!$J$2:$J$37002,"25*",'Accounting data'!$K$2:$K$37002,"681*")+SUMIFS('Accounting data'!$G$2:$G$37002,'Accounting data'!$I$2:$I$37002,"9*",'Accounting data'!$J$2:$J$37002,"25*",'Accounting data'!$K$2:$K$37002,"681*")</f>
        <v>0</v>
      </c>
    </row>
    <row r="983" spans="1:5" x14ac:dyDescent="0.2">
      <c r="A983" s="524" t="s">
        <v>991</v>
      </c>
      <c r="B983" s="522" t="s">
        <v>992</v>
      </c>
      <c r="C983" s="522">
        <v>2500</v>
      </c>
      <c r="D983" s="531">
        <v>6810</v>
      </c>
      <c r="E983" s="523">
        <f>SUMIFS('Accounting data'!$G$2:$G$37002,'Accounting data'!$H$2:$H$37002,"9999*",'Accounting data'!$I$2:$I$37002,"7*",'Accounting data'!$J$2:$J$37002,"25*",'Accounting data'!$K$2:$K$37002,"681*")+SUMIFS('Accounting data'!$G$2:$G$37002,'Accounting data'!$H$2:$H$37002,"9999*",'Accounting data'!$I$2:$I$37002,"8*",'Accounting data'!$J$2:$J$37002,"25*",'Accounting data'!$K$2:$K$37002,"681*")+SUMIFS('Accounting data'!$G$2:$G$37002,'Accounting data'!$H$2:$H$37002,"9999*",'Accounting data'!$I$2:$I$37002,"9*",'Accounting data'!$J$2:$J$37002,"25*",'Accounting data'!$K$2:$K$37002,"681*")</f>
        <v>0</v>
      </c>
    </row>
    <row r="984" spans="1:5" x14ac:dyDescent="0.2">
      <c r="A984" s="522"/>
      <c r="B984" s="522"/>
      <c r="C984" s="522"/>
      <c r="D984" s="531"/>
      <c r="E984" s="523"/>
    </row>
    <row r="985" spans="1:5" x14ac:dyDescent="0.2">
      <c r="A985" s="522"/>
      <c r="B985" s="522"/>
      <c r="C985" s="522"/>
      <c r="D985" s="531"/>
      <c r="E985" s="523"/>
    </row>
    <row r="986" spans="1:5" x14ac:dyDescent="0.2">
      <c r="A986" s="525" t="s">
        <v>1059</v>
      </c>
      <c r="B986" s="525"/>
      <c r="C986" s="525"/>
      <c r="D986" s="525"/>
      <c r="E986" s="527">
        <f>(E980-E981-E982)+(E983+E984+E985)</f>
        <v>14950</v>
      </c>
    </row>
    <row r="987" spans="1:5" x14ac:dyDescent="0.2">
      <c r="A987" s="522" t="s">
        <v>990</v>
      </c>
      <c r="B987" s="522" t="s">
        <v>990</v>
      </c>
      <c r="C987" s="522">
        <v>2900</v>
      </c>
      <c r="D987" s="531">
        <v>6810</v>
      </c>
      <c r="E987" s="523">
        <f>SUMIFS('Accounting data'!$G$2:$G$37002,'Accounting data'!$J$2:$J$37002,"29*",'Accounting data'!$K$2:$K$37002,"681*")</f>
        <v>0</v>
      </c>
    </row>
    <row r="988" spans="1:5" x14ac:dyDescent="0.2">
      <c r="A988" s="522" t="s">
        <v>991</v>
      </c>
      <c r="B988" s="522" t="s">
        <v>990</v>
      </c>
      <c r="C988" s="522">
        <v>2900</v>
      </c>
      <c r="D988" s="531">
        <v>6810</v>
      </c>
      <c r="E988" s="523">
        <f>SUMIFS('Accounting data'!$G$2:$G$37002,'Accounting data'!$H$2:$H$37002,"9999*",'Accounting data'!$J$2:$J$37002,"29*",'Accounting data'!$K$2:$K$37002,"681*")</f>
        <v>0</v>
      </c>
    </row>
    <row r="989" spans="1:5" x14ac:dyDescent="0.2">
      <c r="A989" s="522" t="s">
        <v>990</v>
      </c>
      <c r="B989" s="522" t="s">
        <v>992</v>
      </c>
      <c r="C989" s="522">
        <v>2900</v>
      </c>
      <c r="D989" s="531">
        <v>6810</v>
      </c>
      <c r="E989" s="523">
        <f>SUMIFS('Accounting data'!$G$2:$G$37002,'Accounting data'!$I$2:$I$37002,"7*",'Accounting data'!$J$2:$J$37002,"29*",'Accounting data'!$K$2:$K$37002,"681*")+SUMIFS('Accounting data'!$G$2:$G$37002,'Accounting data'!$I$2:$I$37002,"8*",'Accounting data'!$J$2:$J$37002,"29*",'Accounting data'!$K$2:$K$37002,"681*")+SUMIFS('Accounting data'!$G$2:$G$37002,'Accounting data'!$I$2:$I$37002,"9*",'Accounting data'!$J$2:$J$37002,"29*",'Accounting data'!$K$2:$K$37002,"681*")</f>
        <v>0</v>
      </c>
    </row>
    <row r="990" spans="1:5" x14ac:dyDescent="0.2">
      <c r="A990" s="524" t="s">
        <v>991</v>
      </c>
      <c r="B990" s="522" t="s">
        <v>992</v>
      </c>
      <c r="C990" s="522">
        <v>2900</v>
      </c>
      <c r="D990" s="531">
        <v>6810</v>
      </c>
      <c r="E990" s="523">
        <f>SUMIFS('Accounting data'!$G$2:$G$37002,'Accounting data'!$H$2:$H$37002,"9999*",'Accounting data'!$I$2:$I$37002,"7*",'Accounting data'!$J$2:$J$37002,"29*",'Accounting data'!$K$2:$K$37002,"681*")+SUMIFS('Accounting data'!$G$2:$G$37002,'Accounting data'!$H$2:$H$37002,"9999*",'Accounting data'!$I$2:$I$37002,"8*",'Accounting data'!$J$2:$J$37002,"29*",'Accounting data'!$K$2:$K$37002,"681*")+SUMIFS('Accounting data'!$G$2:$G$37002,'Accounting data'!$H$2:$H$37002,"9999*",'Accounting data'!$I$2:$I$37002,"9*",'Accounting data'!$J$2:$J$37002,"29*",'Accounting data'!$K$2:$K$37002,"681*")</f>
        <v>0</v>
      </c>
    </row>
    <row r="993" spans="1:5" x14ac:dyDescent="0.2">
      <c r="A993" s="525" t="s">
        <v>1060</v>
      </c>
      <c r="B993" s="525"/>
      <c r="C993" s="525"/>
      <c r="D993" s="525"/>
      <c r="E993" s="527">
        <f>(E987-E988-E989)+(E990+E991+E992)</f>
        <v>0</v>
      </c>
    </row>
    <row r="994" spans="1:5" x14ac:dyDescent="0.2">
      <c r="A994" s="522" t="s">
        <v>990</v>
      </c>
      <c r="B994" s="522" t="s">
        <v>990</v>
      </c>
      <c r="C994" s="522">
        <v>2600</v>
      </c>
      <c r="D994" s="531">
        <v>6810</v>
      </c>
      <c r="E994" s="523">
        <f>SUMIFS('Accounting data'!$G$2:$G$37002,'Accounting data'!$J$2:$J$37002,"26*",'Accounting data'!$K$2:$K$37002,"681*")</f>
        <v>0</v>
      </c>
    </row>
    <row r="995" spans="1:5" x14ac:dyDescent="0.2">
      <c r="A995" s="522" t="s">
        <v>991</v>
      </c>
      <c r="B995" s="522" t="s">
        <v>990</v>
      </c>
      <c r="C995" s="522">
        <v>2600</v>
      </c>
      <c r="D995" s="531">
        <v>6810</v>
      </c>
      <c r="E995" s="523">
        <f>SUMIFS('Accounting data'!$G$2:$G$37002,'Accounting data'!$H$2:$H$37002,"9999*",'Accounting data'!$J$2:$J$37002,"26*",'Accounting data'!$K$2:$K$37002,"681*")</f>
        <v>0</v>
      </c>
    </row>
    <row r="996" spans="1:5" x14ac:dyDescent="0.2">
      <c r="A996" s="522" t="s">
        <v>990</v>
      </c>
      <c r="B996" s="522" t="s">
        <v>992</v>
      </c>
      <c r="C996" s="522">
        <v>2600</v>
      </c>
      <c r="D996" s="531">
        <v>6810</v>
      </c>
      <c r="E996" s="523">
        <f>SUMIFS('Accounting data'!$G$2:$G$37002,'Accounting data'!$I$2:$I$37002,"7*",'Accounting data'!$J$2:$J$37002,"26*",'Accounting data'!$K$2:$K$37002,"681*")+SUMIFS('Accounting data'!$G$2:$G$37002,'Accounting data'!$I$2:$I$37002,"8*",'Accounting data'!$J$2:$J$37002,"26*",'Accounting data'!$K$2:$K$37002,"681*")+SUMIFS('Accounting data'!$G$2:$G$37002,'Accounting data'!$I$2:$I$37002,"9*",'Accounting data'!$J$2:$J$37002,"26*",'Accounting data'!$K$2:$K$37002,"681*")</f>
        <v>0</v>
      </c>
    </row>
    <row r="997" spans="1:5" x14ac:dyDescent="0.2">
      <c r="A997" s="524" t="s">
        <v>991</v>
      </c>
      <c r="B997" s="522" t="s">
        <v>992</v>
      </c>
      <c r="C997" s="522">
        <v>2600</v>
      </c>
      <c r="D997" s="531">
        <v>6810</v>
      </c>
      <c r="E997" s="523">
        <f>SUMIFS('Accounting data'!$G$2:$G$37002,'Accounting data'!$H$2:$H$37002,"9999*",'Accounting data'!$I$2:$I$37002,"7*",'Accounting data'!$J$2:$J$37002,"26*",'Accounting data'!$K$2:$K$37002,"681*")+SUMIFS('Accounting data'!$G$2:$G$37002,'Accounting data'!$H$2:$H$37002,"9999*",'Accounting data'!$I$2:$I$37002,"8*",'Accounting data'!$J$2:$J$37002,"26*",'Accounting data'!$K$2:$K$37002,"681*")+SUMIFS('Accounting data'!$G$2:$G$37002,'Accounting data'!$H$2:$H$37002,"9999*",'Accounting data'!$I$2:$I$37002,"9*",'Accounting data'!$J$2:$J$37002,"26*",'Accounting data'!$K$2:$K$37002,"681*")</f>
        <v>0</v>
      </c>
    </row>
    <row r="998" spans="1:5" x14ac:dyDescent="0.2">
      <c r="A998" s="522"/>
      <c r="B998" s="522"/>
      <c r="C998" s="522"/>
      <c r="D998" s="531"/>
      <c r="E998" s="523"/>
    </row>
    <row r="999" spans="1:5" x14ac:dyDescent="0.2">
      <c r="A999" s="522"/>
      <c r="B999" s="522"/>
      <c r="C999" s="522"/>
      <c r="D999" s="531"/>
      <c r="E999" s="523"/>
    </row>
    <row r="1000" spans="1:5" x14ac:dyDescent="0.2">
      <c r="A1000" s="525" t="s">
        <v>1061</v>
      </c>
      <c r="B1000" s="525"/>
      <c r="C1000" s="525"/>
      <c r="D1000" s="525"/>
      <c r="E1000" s="527">
        <f>(E994-E995-E996)+(E997+E998+E999)</f>
        <v>0</v>
      </c>
    </row>
    <row r="1001" spans="1:5" x14ac:dyDescent="0.2">
      <c r="A1001" s="522" t="s">
        <v>990</v>
      </c>
      <c r="B1001" s="522" t="s">
        <v>990</v>
      </c>
      <c r="C1001" s="522">
        <v>2700</v>
      </c>
      <c r="D1001" s="531">
        <v>6810</v>
      </c>
      <c r="E1001" s="523">
        <f>SUMIFS('Accounting data'!$G$2:$G$37002,'Accounting data'!$J$2:$J$37002,"27*",'Accounting data'!$K$2:$K$37002,"681*")</f>
        <v>0</v>
      </c>
    </row>
    <row r="1002" spans="1:5" x14ac:dyDescent="0.2">
      <c r="A1002" s="522" t="s">
        <v>991</v>
      </c>
      <c r="B1002" s="522" t="s">
        <v>990</v>
      </c>
      <c r="C1002" s="522">
        <v>2700</v>
      </c>
      <c r="D1002" s="531">
        <v>6810</v>
      </c>
      <c r="E1002" s="523">
        <f>SUMIFS('Accounting data'!$G$2:$G$37002,'Accounting data'!$H$2:$H$37002,"9999*",'Accounting data'!$J$2:$J$37002,"27*",'Accounting data'!$K$2:$K$37002,"681*")</f>
        <v>0</v>
      </c>
    </row>
    <row r="1003" spans="1:5" x14ac:dyDescent="0.2">
      <c r="A1003" s="522" t="s">
        <v>990</v>
      </c>
      <c r="B1003" s="522" t="s">
        <v>992</v>
      </c>
      <c r="C1003" s="522">
        <v>2700</v>
      </c>
      <c r="D1003" s="531">
        <v>6810</v>
      </c>
      <c r="E1003" s="523">
        <f>SUMIFS('Accounting data'!$G$2:$G$37002,'Accounting data'!$I$2:$I$37002,"7*",'Accounting data'!$J$2:$J$37002,"27*",'Accounting data'!$K$2:$K$37002,"681*")+SUMIFS('Accounting data'!$G$2:$G$37002,'Accounting data'!$I$2:$I$37002,"8*",'Accounting data'!$J$2:$J$37002,"27*",'Accounting data'!$K$2:$K$37002,"681*")+SUMIFS('Accounting data'!$G$2:$G$37002,'Accounting data'!$I$2:$I$37002,"9*",'Accounting data'!$J$2:$J$37002,"27*",'Accounting data'!$K$2:$K$37002,"681*")</f>
        <v>0</v>
      </c>
    </row>
    <row r="1004" spans="1:5" x14ac:dyDescent="0.2">
      <c r="A1004" s="524" t="s">
        <v>991</v>
      </c>
      <c r="B1004" s="522" t="s">
        <v>992</v>
      </c>
      <c r="C1004" s="522">
        <v>2700</v>
      </c>
      <c r="D1004" s="531">
        <v>6810</v>
      </c>
      <c r="E1004" s="523">
        <f>SUMIFS('Accounting data'!$G$2:$G$37002,'Accounting data'!$H$2:$H$37002,"9999*",'Accounting data'!$I$2:$I$37002,"7*",'Accounting data'!$J$2:$J$37002,"27*",'Accounting data'!$K$2:$K$37002,"681*")+SUMIFS('Accounting data'!$G$2:$G$37002,'Accounting data'!$H$2:$H$37002,"9999*",'Accounting data'!$I$2:$I$37002,"8*",'Accounting data'!$J$2:$J$37002,"27*",'Accounting data'!$K$2:$K$37002,"681*")+SUMIFS('Accounting data'!$G$2:$G$37002,'Accounting data'!$H$2:$H$37002,"9999*",'Accounting data'!$I$2:$I$37002,"9*",'Accounting data'!$J$2:$J$37002,"27*",'Accounting data'!$K$2:$K$37002,"681*")</f>
        <v>0</v>
      </c>
    </row>
    <row r="1005" spans="1:5" x14ac:dyDescent="0.2">
      <c r="A1005" s="522"/>
      <c r="B1005" s="522"/>
      <c r="C1005" s="522"/>
      <c r="D1005" s="531"/>
      <c r="E1005" s="523"/>
    </row>
    <row r="1006" spans="1:5" x14ac:dyDescent="0.2">
      <c r="A1006" s="522"/>
      <c r="B1006" s="522"/>
      <c r="C1006" s="522"/>
      <c r="D1006" s="531"/>
      <c r="E1006" s="523"/>
    </row>
    <row r="1007" spans="1:5" x14ac:dyDescent="0.2">
      <c r="A1007" s="525" t="s">
        <v>1062</v>
      </c>
      <c r="B1007" s="525"/>
      <c r="C1007" s="525"/>
      <c r="D1007" s="525"/>
      <c r="E1007" s="527">
        <f>(E1001-E1002-E1003)+(E1004+E1005+E1006)</f>
        <v>0</v>
      </c>
    </row>
    <row r="1008" spans="1:5" x14ac:dyDescent="0.2">
      <c r="A1008" s="522" t="s">
        <v>990</v>
      </c>
      <c r="B1008" s="522" t="s">
        <v>990</v>
      </c>
      <c r="C1008" s="522">
        <v>3100</v>
      </c>
      <c r="D1008" s="531">
        <v>6810</v>
      </c>
      <c r="E1008" s="523">
        <f>SUMIFS('Accounting data'!$G$2:$G$37002,'Accounting data'!$J$2:$J$37002,"31*",'Accounting data'!$K$2:$K$37002,"681*")</f>
        <v>0</v>
      </c>
    </row>
    <row r="1009" spans="1:5" x14ac:dyDescent="0.2">
      <c r="A1009" s="522" t="s">
        <v>991</v>
      </c>
      <c r="B1009" s="522" t="s">
        <v>990</v>
      </c>
      <c r="C1009" s="522">
        <v>3100</v>
      </c>
      <c r="D1009" s="531">
        <v>6810</v>
      </c>
      <c r="E1009" s="523">
        <f>SUMIFS('Accounting data'!$G$2:$G$37002,'Accounting data'!$H$2:$H$37002,"9999*",'Accounting data'!$J$2:$J$37002,"31*",'Accounting data'!$K$2:$K$37002,"681*")</f>
        <v>0</v>
      </c>
    </row>
    <row r="1010" spans="1:5" x14ac:dyDescent="0.2">
      <c r="A1010" s="522" t="s">
        <v>990</v>
      </c>
      <c r="B1010" s="522" t="s">
        <v>992</v>
      </c>
      <c r="C1010" s="522">
        <v>3100</v>
      </c>
      <c r="D1010" s="531">
        <v>6810</v>
      </c>
      <c r="E1010" s="523">
        <f>SUMIFS('Accounting data'!$G$2:$G$37002,'Accounting data'!$I$2:$I$37002,"7*",'Accounting data'!$J$2:$J$37002,"31*",'Accounting data'!$K$2:$K$37002,"681*")+SUMIFS('Accounting data'!$G$2:$G$37002,'Accounting data'!$I$2:$I$37002,"8*",'Accounting data'!$J$2:$J$37002,"31*",'Accounting data'!$K$2:$K$37002,"681*")+SUMIFS('Accounting data'!$G$2:$G$37002,'Accounting data'!$I$2:$I$37002,"9*",'Accounting data'!$J$2:$J$37002,"31*",'Accounting data'!$K$2:$K$37002,"681*")</f>
        <v>0</v>
      </c>
    </row>
    <row r="1011" spans="1:5" x14ac:dyDescent="0.2">
      <c r="A1011" s="524" t="s">
        <v>991</v>
      </c>
      <c r="B1011" s="522" t="s">
        <v>992</v>
      </c>
      <c r="C1011" s="522">
        <v>3100</v>
      </c>
      <c r="D1011" s="531">
        <v>6810</v>
      </c>
      <c r="E1011" s="523">
        <f>SUMIFS('Accounting data'!$G$2:$G$37002,'Accounting data'!$H$2:$H$37002,"9999*",'Accounting data'!$I$2:$I$37002,"7*",'Accounting data'!$J$2:$J$37002,"31*",'Accounting data'!$K$2:$K$37002,"681*")+SUMIFS('Accounting data'!$G$2:$G$37002,'Accounting data'!$H$2:$H$37002,"9999*",'Accounting data'!$I$2:$I$37002,"8*",'Accounting data'!$J$2:$J$37002,"31*",'Accounting data'!$K$2:$K$37002,"681*")+SUMIFS('Accounting data'!$G$2:$G$37002,'Accounting data'!$H$2:$H$37002,"9999*",'Accounting data'!$I$2:$I$37002,"9*",'Accounting data'!$J$2:$J$37002,"31*",'Accounting data'!$K$2:$K$37002,"681*")</f>
        <v>0</v>
      </c>
    </row>
    <row r="1012" spans="1:5" x14ac:dyDescent="0.2">
      <c r="A1012" s="522"/>
      <c r="B1012" s="522"/>
      <c r="C1012" s="522"/>
      <c r="D1012" s="531"/>
      <c r="E1012" s="523"/>
    </row>
    <row r="1013" spans="1:5" x14ac:dyDescent="0.2">
      <c r="A1013" s="522"/>
      <c r="B1013" s="522"/>
      <c r="C1013" s="522"/>
      <c r="D1013" s="531"/>
      <c r="E1013" s="523"/>
    </row>
    <row r="1014" spans="1:5" x14ac:dyDescent="0.2">
      <c r="A1014" s="525" t="s">
        <v>1063</v>
      </c>
      <c r="B1014" s="525"/>
      <c r="C1014" s="525"/>
      <c r="D1014" s="525"/>
      <c r="E1014" s="527">
        <f>(E1008-E1009-E1010)+(E1011+E1012+E1013)</f>
        <v>0</v>
      </c>
    </row>
    <row r="1015" spans="1:5" x14ac:dyDescent="0.2">
      <c r="A1015" s="522"/>
      <c r="B1015" s="522"/>
      <c r="C1015" s="522"/>
      <c r="D1015" s="531"/>
      <c r="E1015" s="523"/>
    </row>
    <row r="1016" spans="1:5" x14ac:dyDescent="0.2">
      <c r="A1016" s="522"/>
      <c r="B1016" s="522"/>
      <c r="C1016" s="522"/>
      <c r="D1016" s="531"/>
      <c r="E1016" s="523"/>
    </row>
    <row r="1017" spans="1:5" x14ac:dyDescent="0.2">
      <c r="A1017" s="522"/>
      <c r="B1017" s="522"/>
      <c r="C1017" s="522"/>
      <c r="D1017" s="531"/>
      <c r="E1017" s="523"/>
    </row>
    <row r="1018" spans="1:5" x14ac:dyDescent="0.2">
      <c r="A1018" s="524"/>
      <c r="B1018" s="522"/>
      <c r="C1018" s="522"/>
      <c r="D1018" s="531"/>
      <c r="E1018" s="523"/>
    </row>
    <row r="1019" spans="1:5" x14ac:dyDescent="0.2">
      <c r="A1019" s="522"/>
      <c r="B1019" s="522"/>
      <c r="C1019" s="522"/>
      <c r="D1019" s="531"/>
      <c r="E1019" s="523"/>
    </row>
    <row r="1020" spans="1:5" x14ac:dyDescent="0.2">
      <c r="A1020" s="522"/>
      <c r="B1020" s="522"/>
      <c r="C1020" s="522"/>
      <c r="D1020" s="531"/>
      <c r="E1020" s="523"/>
    </row>
    <row r="1021" spans="1:5" x14ac:dyDescent="0.2">
      <c r="A1021" s="525"/>
      <c r="B1021" s="525"/>
      <c r="C1021" s="525"/>
      <c r="D1021" s="525"/>
      <c r="E1021" s="527"/>
    </row>
    <row r="1022" spans="1:5" x14ac:dyDescent="0.2">
      <c r="A1022" s="522" t="s">
        <v>990</v>
      </c>
      <c r="B1022" s="522" t="s">
        <v>990</v>
      </c>
      <c r="C1022" s="522">
        <v>3400</v>
      </c>
      <c r="D1022" s="531">
        <v>6810</v>
      </c>
      <c r="E1022" s="523">
        <f>SUMIFS('Accounting data'!$G$2:$G$37002,'Accounting data'!$J$2:$J$37002,"34*",'Accounting data'!$K$2:$K$37002,"681*")</f>
        <v>0</v>
      </c>
    </row>
    <row r="1023" spans="1:5" x14ac:dyDescent="0.2">
      <c r="A1023" s="522" t="s">
        <v>991</v>
      </c>
      <c r="B1023" s="522" t="s">
        <v>990</v>
      </c>
      <c r="C1023" s="522">
        <v>3400</v>
      </c>
      <c r="D1023" s="531">
        <v>6810</v>
      </c>
      <c r="E1023" s="523">
        <f>SUMIFS('Accounting data'!$G$2:$G$37002,'Accounting data'!$H$2:$H$37002,"9999*",'Accounting data'!$J$2:$J$37002,"34*",'Accounting data'!$K$2:$K$37002,"681*")</f>
        <v>0</v>
      </c>
    </row>
    <row r="1024" spans="1:5" x14ac:dyDescent="0.2">
      <c r="A1024" s="522" t="s">
        <v>990</v>
      </c>
      <c r="B1024" s="522" t="s">
        <v>992</v>
      </c>
      <c r="C1024" s="522">
        <v>3400</v>
      </c>
      <c r="D1024" s="531">
        <v>6810</v>
      </c>
      <c r="E1024" s="523">
        <f>SUMIFS('Accounting data'!$G$2:$G$37002,'Accounting data'!$I$2:$I$37002,"7*",'Accounting data'!$J$2:$J$37002,"34*",'Accounting data'!$K$2:$K$37002,"681*")+SUMIFS('Accounting data'!$G$2:$G$37002,'Accounting data'!$I$2:$I$37002,"8*",'Accounting data'!$J$2:$J$37002,"34*",'Accounting data'!$K$2:$K$37002,"681*")+SUMIFS('Accounting data'!$G$2:$G$37002,'Accounting data'!$I$2:$I$37002,"9*",'Accounting data'!$J$2:$J$37002,"34*",'Accounting data'!$K$2:$K$37002,"681*")</f>
        <v>0</v>
      </c>
    </row>
    <row r="1025" spans="1:5" x14ac:dyDescent="0.2">
      <c r="A1025" s="524" t="s">
        <v>991</v>
      </c>
      <c r="B1025" s="522" t="s">
        <v>992</v>
      </c>
      <c r="C1025" s="522">
        <v>3400</v>
      </c>
      <c r="D1025" s="531">
        <v>6810</v>
      </c>
      <c r="E1025" s="523">
        <f>SUMIFS('Accounting data'!$G$2:$G$37002,'Accounting data'!$H$2:$H$37002,"9999*",'Accounting data'!$I$2:$I$37002,"7*",'Accounting data'!$J$2:$J$37002,"34*",'Accounting data'!$K$2:$K$37002,"681*")+SUMIFS('Accounting data'!$G$2:$G$37002,'Accounting data'!$H$2:$H$37002,"9999*",'Accounting data'!$I$2:$I$37002,"8*",'Accounting data'!$J$2:$J$37002,"34*",'Accounting data'!$K$2:$K$37002,"681*")+SUMIFS('Accounting data'!$G$2:$G$37002,'Accounting data'!$H$2:$H$37002,"9999*",'Accounting data'!$I$2:$I$37002,"9*",'Accounting data'!$J$2:$J$37002,"34*",'Accounting data'!$K$2:$K$37002,"681*")</f>
        <v>0</v>
      </c>
    </row>
    <row r="1026" spans="1:5" x14ac:dyDescent="0.2">
      <c r="A1026" s="522"/>
      <c r="B1026" s="522"/>
      <c r="C1026" s="522"/>
      <c r="D1026" s="531"/>
      <c r="E1026" s="523"/>
    </row>
    <row r="1027" spans="1:5" x14ac:dyDescent="0.2">
      <c r="A1027" s="522"/>
      <c r="B1027" s="522"/>
      <c r="C1027" s="522"/>
      <c r="D1027" s="531"/>
      <c r="E1027" s="523"/>
    </row>
    <row r="1028" spans="1:5" x14ac:dyDescent="0.2">
      <c r="A1028" s="525" t="s">
        <v>1064</v>
      </c>
      <c r="B1028" s="525"/>
      <c r="C1028" s="525"/>
      <c r="D1028" s="525"/>
      <c r="E1028" s="527">
        <f>(E1022-E1023-E1024)+(E1025+E1026+E1027)</f>
        <v>0</v>
      </c>
    </row>
    <row r="1029" spans="1:5" x14ac:dyDescent="0.2">
      <c r="A1029" s="522" t="s">
        <v>990</v>
      </c>
      <c r="B1029" s="522" t="s">
        <v>990</v>
      </c>
      <c r="C1029" s="522">
        <v>4000</v>
      </c>
      <c r="D1029" s="531">
        <v>6810</v>
      </c>
      <c r="E1029" s="523">
        <f>SUMIFS('Accounting data'!$G$2:$G$37002,'Accounting data'!$J$2:$J$37002,"4*",'Accounting data'!$K$2:$K$37002,"681*")</f>
        <v>0</v>
      </c>
    </row>
    <row r="1030" spans="1:5" x14ac:dyDescent="0.2">
      <c r="A1030" s="522" t="s">
        <v>991</v>
      </c>
      <c r="B1030" s="522" t="s">
        <v>990</v>
      </c>
      <c r="C1030" s="522">
        <v>4000</v>
      </c>
      <c r="D1030" s="531">
        <v>6810</v>
      </c>
      <c r="E1030" s="523">
        <f>SUMIFS('Accounting data'!$G$2:$G$37002,'Accounting data'!$H$2:$H$37002,"9999*",'Accounting data'!$J$2:$J$37002,"4*",'Accounting data'!$K$2:$K$37002,"681*")</f>
        <v>0</v>
      </c>
    </row>
    <row r="1031" spans="1:5" x14ac:dyDescent="0.2">
      <c r="A1031" s="522" t="s">
        <v>990</v>
      </c>
      <c r="B1031" s="522" t="s">
        <v>992</v>
      </c>
      <c r="C1031" s="522">
        <v>4000</v>
      </c>
      <c r="D1031" s="531">
        <v>6810</v>
      </c>
      <c r="E1031" s="523">
        <f>SUMIFS('Accounting data'!$G$2:$G$37002,'Accounting data'!$I$2:$I$37002,"7*",'Accounting data'!$J$2:$J$37002,"4*",'Accounting data'!$K$2:$K$37002,"681*")+SUMIFS('Accounting data'!$G$2:$G$37002,'Accounting data'!$I$2:$I$37002,"8*",'Accounting data'!$J$2:$J$37002,"4*",'Accounting data'!$K$2:$K$37002,"681*")+SUMIFS('Accounting data'!$G$2:$G$37002,'Accounting data'!$I$2:$I$37002,"9*",'Accounting data'!$J$2:$J$37002,"4*",'Accounting data'!$K$2:$K$37002,"681*")</f>
        <v>0</v>
      </c>
    </row>
    <row r="1032" spans="1:5" x14ac:dyDescent="0.2">
      <c r="A1032" s="524" t="s">
        <v>991</v>
      </c>
      <c r="B1032" s="522" t="s">
        <v>992</v>
      </c>
      <c r="C1032" s="522">
        <v>4000</v>
      </c>
      <c r="D1032" s="531">
        <v>6810</v>
      </c>
      <c r="E1032" s="523">
        <f>SUMIFS('Accounting data'!$G$2:$G$37002,'Accounting data'!$H$2:$H$37002,"9999*",'Accounting data'!$I$2:$I$37002,"7*",'Accounting data'!$J$2:$J$37002,"4*",'Accounting data'!$K$2:$K$37002,"681*")+SUMIFS('Accounting data'!$G$2:$G$37002,'Accounting data'!$H$2:$H$37002,"9999*",'Accounting data'!$I$2:$I$37002,"8*",'Accounting data'!$J$2:$J$37002,"4*",'Accounting data'!$K$2:$K$37002,"681*")+SUMIFS('Accounting data'!$G$2:$G$37002,'Accounting data'!$H$2:$H$37002,"9999*",'Accounting data'!$I$2:$I$37002,"9*",'Accounting data'!$J$2:$J$37002,"4*",'Accounting data'!$K$2:$K$37002,"681*")</f>
        <v>0</v>
      </c>
    </row>
    <row r="1033" spans="1:5" x14ac:dyDescent="0.2">
      <c r="A1033" s="522"/>
      <c r="B1033" s="522"/>
      <c r="C1033" s="522"/>
      <c r="D1033" s="531"/>
      <c r="E1033" s="523"/>
    </row>
    <row r="1034" spans="1:5" x14ac:dyDescent="0.2">
      <c r="A1034" s="522"/>
      <c r="B1034" s="522"/>
      <c r="C1034" s="522"/>
      <c r="D1034" s="531"/>
      <c r="E1034" s="523"/>
    </row>
    <row r="1035" spans="1:5" x14ac:dyDescent="0.2">
      <c r="A1035" s="525" t="s">
        <v>1065</v>
      </c>
      <c r="B1035" s="525"/>
      <c r="C1035" s="525"/>
      <c r="D1035" s="525"/>
      <c r="E1035" s="527">
        <f>(E1029-E1030-E1031)+(E1032+E1033+E1034)</f>
        <v>0</v>
      </c>
    </row>
    <row r="1036" spans="1:5" x14ac:dyDescent="0.2">
      <c r="A1036" s="528" t="s">
        <v>1066</v>
      </c>
      <c r="B1036" s="528"/>
      <c r="C1036" s="528"/>
      <c r="D1036" s="528"/>
      <c r="E1036" s="532">
        <f>E951+E958+E965+E972+E979+E986+E993+E1000+E1007+E1014+E1021+E1028</f>
        <v>31509</v>
      </c>
    </row>
    <row r="1037" spans="1:5" x14ac:dyDescent="0.2">
      <c r="A1037" s="522" t="s">
        <v>1006</v>
      </c>
      <c r="B1037" s="522" t="s">
        <v>990</v>
      </c>
      <c r="C1037" s="522">
        <v>1000</v>
      </c>
      <c r="D1037" s="522">
        <v>6810</v>
      </c>
      <c r="E1037" s="523">
        <f>SUMIFS('Accounting data'!$G$2:$G$37002,'Accounting data'!$H$2:$H$37002,"11*",'Accounting data'!$J$2:$J$37002,"1*",'Accounting data'!$K$2:$K$37002,"681*")+SUMIFS('Accounting data'!$G$2:$G$37002,'Accounting data'!$H$2:$H$37002,"12*",'Accounting data'!$J$2:$J$37002,"1*",'Accounting data'!$K$2:$K$37002,"681*")+SUMIFS('Accounting data'!$G$2:$G$37002,'Accounting data'!$H$2:$H$37002,"13*",'Accounting data'!$J$2:$J$37002,"1*",'Accounting data'!$K$2:$K$37002,"681*")</f>
        <v>0</v>
      </c>
    </row>
    <row r="1038" spans="1:5" x14ac:dyDescent="0.2">
      <c r="A1038" s="522" t="s">
        <v>1006</v>
      </c>
      <c r="B1038" s="522" t="s">
        <v>990</v>
      </c>
      <c r="C1038" s="522">
        <v>2000</v>
      </c>
      <c r="D1038" s="522">
        <v>6810</v>
      </c>
      <c r="E1038" s="523">
        <f>SUMIFS('Accounting data'!$G$2:$G$37002,'Accounting data'!$H$2:$H$37002,"11*",'Accounting data'!$J$2:$J$37002,"2*",'Accounting data'!$K$2:$K$37002,"681*")+SUMIFS('Accounting data'!$G$2:$G$37002,'Accounting data'!$H$2:$H$37002,"12*",'Accounting data'!$J$2:$J$37002,"2*",'Accounting data'!$K$2:$K$37002,"681*")+SUMIFS('Accounting data'!$G$2:$G$37002,'Accounting data'!$H$2:$H$37002,"13*",'Accounting data'!$J$2:$J$37002,"2*",'Accounting data'!$K$2:$K$37002,"681*")</f>
        <v>0</v>
      </c>
    </row>
    <row r="1039" spans="1:5" x14ac:dyDescent="0.2">
      <c r="A1039" s="522" t="s">
        <v>1006</v>
      </c>
      <c r="B1039" s="522" t="s">
        <v>990</v>
      </c>
      <c r="C1039" s="522">
        <v>3000</v>
      </c>
      <c r="D1039" s="522">
        <v>6810</v>
      </c>
      <c r="E1039" s="523">
        <f>SUMIFS('Accounting data'!$G$2:$G$37002,'Accounting data'!$H$2:$H$37002,"11*",'Accounting data'!$J$2:$J$37002,"3*",'Accounting data'!$K$2:$K$37002,"681*")+SUMIFS('Accounting data'!$G$2:$G$37002,'Accounting data'!$H$2:$H$37002,"12*",'Accounting data'!$J$2:$J$37002,"3*",'Accounting data'!$K$2:$K$37002,"681*")+SUMIFS('Accounting data'!$G$2:$G$37002,'Accounting data'!$H$2:$H$37002,"13*",'Accounting data'!$J$2:$J$37002,"3*",'Accounting data'!$K$2:$K$37002,"681*")</f>
        <v>0</v>
      </c>
    </row>
    <row r="1040" spans="1:5" x14ac:dyDescent="0.2">
      <c r="A1040" s="522" t="s">
        <v>1006</v>
      </c>
      <c r="B1040" s="524">
        <v>700</v>
      </c>
      <c r="C1040" s="522">
        <v>1000</v>
      </c>
      <c r="D1040" s="522">
        <v>6810</v>
      </c>
      <c r="E1040" s="523">
        <f>SUMIFS('Accounting data'!$G$2:$G$37002,'Accounting data'!$H$2:$H$37002,"11*",'Accounting data'!$I$2:$I$37002,"7*",'Accounting data'!$J$2:$J$37002,"1*",'Accounting data'!$K$2:$K$37002,"681*")+SUMIFS('Accounting data'!$G$2:$G$37002,'Accounting data'!$H$2:$H$37002,"12*",'Accounting data'!$I$2:$I$37002,"7*",'Accounting data'!$J$2:$J$37002,"1*",'Accounting data'!$K$2:$K$37002,"681*")+SUMIFS('Accounting data'!$G$2:$G$37002,'Accounting data'!$H$2:$H$37002,"13*",'Accounting data'!$I$2:$I$37002,"7*",'Accounting data'!$J$2:$J$37002,"1*",'Accounting data'!$K$2:$K$37002,"681*")</f>
        <v>0</v>
      </c>
    </row>
    <row r="1041" spans="1:5" x14ac:dyDescent="0.2">
      <c r="A1041" s="522" t="s">
        <v>1006</v>
      </c>
      <c r="B1041" s="524">
        <v>800</v>
      </c>
      <c r="C1041" s="522">
        <v>1000</v>
      </c>
      <c r="D1041" s="522">
        <v>6810</v>
      </c>
      <c r="E1041" s="523">
        <f>SUMIFS('Accounting data'!$G$2:$G$37002,'Accounting data'!$H$2:$H$37002,"11*",'Accounting data'!$I$2:$I$37002,"8*",'Accounting data'!$J$2:$J$37002,"1*",'Accounting data'!$K$2:$K$37002,"681*")+SUMIFS('Accounting data'!$G$2:$G$37002,'Accounting data'!$H$2:$H$37002,"12*",'Accounting data'!$I$2:$I$37002,"8*",'Accounting data'!$J$2:$J$37002,"1*",'Accounting data'!$K$2:$K$37002,"681*")+SUMIFS('Accounting data'!$G$2:$G$37002,'Accounting data'!$H$2:$H$37002,"13*",'Accounting data'!$I$2:$I$37002,"8*",'Accounting data'!$J$2:$J$37002,"1*",'Accounting data'!$K$2:$K$37002,"681*")</f>
        <v>0</v>
      </c>
    </row>
    <row r="1042" spans="1:5" x14ac:dyDescent="0.2">
      <c r="A1042" s="522" t="s">
        <v>1006</v>
      </c>
      <c r="B1042" s="524">
        <v>900</v>
      </c>
      <c r="C1042" s="522">
        <v>1000</v>
      </c>
      <c r="D1042" s="522">
        <v>6810</v>
      </c>
      <c r="E1042" s="523">
        <f>SUMIFS('Accounting data'!$G$2:$G$37002,'Accounting data'!$H$2:$H$37002,"11*",'Accounting data'!$I$2:$I$37002,"9*",'Accounting data'!$J$2:$J$37002,"1*",'Accounting data'!$K$2:$K$37002,"681*")+SUMIFS('Accounting data'!$G$2:$G$37002,'Accounting data'!$H$2:$H$37002,"12*",'Accounting data'!$I$2:$I$37002,"9*",'Accounting data'!$J$2:$J$37002,"1*",'Accounting data'!$K$2:$K$37002,"681*")+SUMIFS('Accounting data'!$G$2:$G$37002,'Accounting data'!$H$2:$H$37002,"13*",'Accounting data'!$I$2:$I$37002,"9*",'Accounting data'!$J$2:$J$37002,"1*",'Accounting data'!$K$2:$K$37002,"681*")</f>
        <v>0</v>
      </c>
    </row>
    <row r="1043" spans="1:5" x14ac:dyDescent="0.2">
      <c r="A1043" s="522" t="s">
        <v>1006</v>
      </c>
      <c r="B1043" s="524">
        <v>700</v>
      </c>
      <c r="C1043" s="522">
        <v>2000</v>
      </c>
      <c r="D1043" s="522">
        <v>6810</v>
      </c>
      <c r="E1043" s="523">
        <f>SUMIFS('Accounting data'!$G$2:$G$37002,'Accounting data'!$H$2:$H$37002,"11*",'Accounting data'!$I$2:$I$37002,"7*",'Accounting data'!$J$2:$J$37002,"2*",'Accounting data'!$K$2:$K$37002,"681*")+SUMIFS('Accounting data'!$G$2:$G$37002,'Accounting data'!$H$2:$H$37002,"12*",'Accounting data'!$I$2:$I$37002,"7*",'Accounting data'!$J$2:$J$37002,"2*",'Accounting data'!$K$2:$K$37002,"681*")+SUMIFS('Accounting data'!$G$2:$G$37002,'Accounting data'!$H$2:$H$37002,"13*",'Accounting data'!$I$2:$I$37002,"7*",'Accounting data'!$J$2:$J$37002,"2*",'Accounting data'!$K$2:$K$37002,"681*")</f>
        <v>0</v>
      </c>
    </row>
    <row r="1044" spans="1:5" x14ac:dyDescent="0.2">
      <c r="A1044" s="522" t="s">
        <v>1006</v>
      </c>
      <c r="B1044" s="524">
        <v>800</v>
      </c>
      <c r="C1044" s="522">
        <v>2000</v>
      </c>
      <c r="D1044" s="522">
        <v>6810</v>
      </c>
      <c r="E1044" s="523">
        <f>SUMIFS('Accounting data'!$G$2:$G$37002,'Accounting data'!$H$2:$H$37002,"11*",'Accounting data'!$I$2:$I$37002,"8*",'Accounting data'!$J$2:$J$37002,"2*",'Accounting data'!$K$2:$K$37002,"681*")+SUMIFS('Accounting data'!$G$2:$G$37002,'Accounting data'!$H$2:$H$37002,"12*",'Accounting data'!$I$2:$I$37002,"8*",'Accounting data'!$J$2:$J$37002,"2*",'Accounting data'!$K$2:$K$37002,"681*")+SUMIFS('Accounting data'!$G$2:$G$37002,'Accounting data'!$H$2:$H$37002,"13*",'Accounting data'!$I$2:$I$37002,"8*",'Accounting data'!$J$2:$J$37002,"2*",'Accounting data'!$K$2:$K$37002,"681*")</f>
        <v>0</v>
      </c>
    </row>
    <row r="1045" spans="1:5" x14ac:dyDescent="0.2">
      <c r="A1045" s="522" t="s">
        <v>1006</v>
      </c>
      <c r="B1045" s="524">
        <v>900</v>
      </c>
      <c r="C1045" s="522">
        <v>2000</v>
      </c>
      <c r="D1045" s="522">
        <v>6810</v>
      </c>
      <c r="E1045" s="523">
        <f>SUMIFS('Accounting data'!$G$2:$G$37002,'Accounting data'!$H$2:$H$37002,"11*",'Accounting data'!$I$2:$I$37002,"9*",'Accounting data'!$J$2:$J$37002,"2*",'Accounting data'!$K$2:$K$37002,"681*")+SUMIFS('Accounting data'!$G$2:$G$37002,'Accounting data'!$H$2:$H$37002,"12*",'Accounting data'!$I$2:$I$37002,"9*",'Accounting data'!$J$2:$J$37002,"2*",'Accounting data'!$K$2:$K$37002,"681*")+SUMIFS('Accounting data'!$G$2:$G$37002,'Accounting data'!$H$2:$H$37002,"13*",'Accounting data'!$I$2:$I$37002,"9*",'Accounting data'!$J$2:$J$37002,"2*",'Accounting data'!$K$2:$K$37002,"681*")</f>
        <v>0</v>
      </c>
    </row>
    <row r="1046" spans="1:5" x14ac:dyDescent="0.2">
      <c r="A1046" s="522" t="s">
        <v>1006</v>
      </c>
      <c r="B1046" s="524">
        <v>700</v>
      </c>
      <c r="C1046" s="522">
        <v>3000</v>
      </c>
      <c r="D1046" s="522">
        <v>6810</v>
      </c>
      <c r="E1046" s="523">
        <f>SUMIFS('Accounting data'!$G$2:$G$37002,'Accounting data'!$H$2:$H$37002,"11*",'Accounting data'!$I$2:$I$37002,"7*",'Accounting data'!$J$2:$J$37002,"3*",'Accounting data'!$K$2:$K$37002,"681*")+SUMIFS('Accounting data'!$G$2:$G$37002,'Accounting data'!$H$2:$H$37002,"12*",'Accounting data'!$I$2:$I$37002,"7*",'Accounting data'!$J$2:$J$37002,"3*",'Accounting data'!$K$2:$K$37002,"681*")+SUMIFS('Accounting data'!$G$2:$G$37002,'Accounting data'!$H$2:$H$37002,"13*",'Accounting data'!$I$2:$I$37002,"7*",'Accounting data'!$J$2:$J$37002,"3*",'Accounting data'!$K$2:$K$37002,"681*")</f>
        <v>0</v>
      </c>
    </row>
    <row r="1047" spans="1:5" x14ac:dyDescent="0.2">
      <c r="A1047" s="522" t="s">
        <v>1006</v>
      </c>
      <c r="B1047" s="524">
        <v>800</v>
      </c>
      <c r="C1047" s="522">
        <v>3000</v>
      </c>
      <c r="D1047" s="522">
        <v>6810</v>
      </c>
      <c r="E1047" s="523">
        <f>SUMIFS('Accounting data'!$G$2:$G$37002,'Accounting data'!$H$2:$H$37002,"11*",'Accounting data'!$I$2:$I$37002,"8*",'Accounting data'!$J$2:$J$37002,"3*",'Accounting data'!$K$2:$K$37002,"681*")+SUMIFS('Accounting data'!$G$2:$G$37002,'Accounting data'!$H$2:$H$37002,"12*",'Accounting data'!$I$2:$I$37002,"8*",'Accounting data'!$J$2:$J$37002,"3*",'Accounting data'!$K$2:$K$37002,"681*")+SUMIFS('Accounting data'!$G$2:$G$37002,'Accounting data'!$H$2:$H$37002,"13*",'Accounting data'!$I$2:$I$37002,"8*",'Accounting data'!$J$2:$J$37002,"3*",'Accounting data'!$K$2:$K$37002,"681*")</f>
        <v>0</v>
      </c>
    </row>
    <row r="1048" spans="1:5" x14ac:dyDescent="0.2">
      <c r="A1048" s="522" t="s">
        <v>1006</v>
      </c>
      <c r="B1048" s="524">
        <v>900</v>
      </c>
      <c r="C1048" s="522">
        <v>3000</v>
      </c>
      <c r="D1048" s="522">
        <v>6810</v>
      </c>
      <c r="E1048" s="523">
        <f>SUMIFS('Accounting data'!$G$2:$G$37002,'Accounting data'!$H$2:$H$37002,"11*",'Accounting data'!$I$2:$I$37002,"9*",'Accounting data'!$J$2:$J$37002,"3*",'Accounting data'!$K$2:$K$37002,"681*")+SUMIFS('Accounting data'!$G$2:$G$37002,'Accounting data'!$H$2:$H$37002,"12*",'Accounting data'!$I$2:$I$37002,"9*",'Accounting data'!$J$2:$J$37002,"3*",'Accounting data'!$K$2:$K$37002,"681*")+SUMIFS('Accounting data'!$G$2:$G$37002,'Accounting data'!$H$2:$H$37002,"13*",'Accounting data'!$I$2:$I$37002,"9*",'Accounting data'!$J$2:$J$37002,"3*",'Accounting data'!$K$2:$K$37002,"681*")</f>
        <v>0</v>
      </c>
    </row>
    <row r="1049" spans="1:5" x14ac:dyDescent="0.2">
      <c r="A1049" s="525" t="s">
        <v>1067</v>
      </c>
      <c r="B1049" s="525"/>
      <c r="C1049" s="525"/>
      <c r="D1049" s="525"/>
      <c r="E1049" s="527">
        <f>(E1037+E1038+E1039)-(E1040+E1041+E1042+E1043+E1044+E1045+E1046+E1047+E1048)</f>
        <v>0</v>
      </c>
    </row>
    <row r="1050" spans="1:5" x14ac:dyDescent="0.2">
      <c r="A1050" s="522" t="s">
        <v>990</v>
      </c>
      <c r="B1050" s="522" t="s">
        <v>990</v>
      </c>
      <c r="C1050" s="522">
        <v>2300</v>
      </c>
      <c r="D1050" s="531">
        <v>6820</v>
      </c>
      <c r="E1050" s="523">
        <f>SUMIFS('Accounting data'!$G$2:$G$37002,'Accounting data'!$J$2:$J$37002,"23*",'Accounting data'!$K$2:$K$37002,"682*")</f>
        <v>0</v>
      </c>
    </row>
    <row r="1051" spans="1:5" x14ac:dyDescent="0.2">
      <c r="A1051" s="522" t="s">
        <v>991</v>
      </c>
      <c r="B1051" s="522" t="s">
        <v>990</v>
      </c>
      <c r="C1051" s="522">
        <v>2300</v>
      </c>
      <c r="D1051" s="531">
        <v>6820</v>
      </c>
      <c r="E1051" s="523">
        <f>SUMIFS('Accounting data'!$G$2:$G$37002,'Accounting data'!$H$2:$H$37002,"9999*",'Accounting data'!$J$2:$J$37002,"23*",'Accounting data'!$K$2:$K$37002,"682*")</f>
        <v>0</v>
      </c>
    </row>
    <row r="1052" spans="1:5" x14ac:dyDescent="0.2">
      <c r="A1052" s="522" t="s">
        <v>990</v>
      </c>
      <c r="B1052" s="522" t="s">
        <v>992</v>
      </c>
      <c r="C1052" s="522">
        <v>2300</v>
      </c>
      <c r="D1052" s="531">
        <v>6820</v>
      </c>
      <c r="E1052" s="523">
        <f>SUMIFS('Accounting data'!$G$2:$G$37002,'Accounting data'!$I$2:$I$37002,"7*",'Accounting data'!$J$2:$J$37002,"23*",'Accounting data'!$K$2:$K$37002,"682*")+SUMIFS('Accounting data'!$G$2:$G$37002,'Accounting data'!$I$2:$I$37002,"8*",'Accounting data'!$J$2:$J$37002,"23*",'Accounting data'!$K$2:$K$37002,"682*")+SUMIFS('Accounting data'!$G$2:$G$37002,'Accounting data'!$I$2:$I$37002,"9*",'Accounting data'!$J$2:$J$37002,"23*",'Accounting data'!$K$2:$K$37002,"682*")</f>
        <v>0</v>
      </c>
    </row>
    <row r="1053" spans="1:5" x14ac:dyDescent="0.2">
      <c r="A1053" s="524" t="s">
        <v>991</v>
      </c>
      <c r="B1053" s="522" t="s">
        <v>992</v>
      </c>
      <c r="C1053" s="522">
        <v>2300</v>
      </c>
      <c r="D1053" s="531">
        <v>6820</v>
      </c>
      <c r="E1053" s="523">
        <f>SUMIFS('Accounting data'!$G$2:$G$37002,'Accounting data'!$H$2:$H$37002,"9999*",'Accounting data'!$I$2:$I$37002,"7*",'Accounting data'!$J$2:$J$37002,"23*",'Accounting data'!$K$2:$K$37002,"682*")+SUMIFS('Accounting data'!$G$2:$G$37002,'Accounting data'!$H$2:$H$37002,"9999*",'Accounting data'!$I$2:$I$37002,"8*",'Accounting data'!$J$2:$J$37002,"23*",'Accounting data'!$K$2:$K$37002,"682*")+SUMIFS('Accounting data'!$G$2:$G$37002,'Accounting data'!$H$2:$H$37002,"9999*",'Accounting data'!$I$2:$I$37002,"9*",'Accounting data'!$J$2:$J$37002,"23*",'Accounting data'!$K$2:$K$37002,"682*")</f>
        <v>0</v>
      </c>
    </row>
    <row r="1054" spans="1:5" x14ac:dyDescent="0.2">
      <c r="A1054" s="522"/>
      <c r="B1054" s="522"/>
      <c r="C1054" s="522"/>
      <c r="D1054" s="531"/>
      <c r="E1054" s="523"/>
    </row>
    <row r="1055" spans="1:5" x14ac:dyDescent="0.2">
      <c r="A1055" s="522"/>
      <c r="B1055" s="522"/>
      <c r="C1055" s="522"/>
      <c r="D1055" s="531"/>
      <c r="E1055" s="523"/>
    </row>
    <row r="1056" spans="1:5" x14ac:dyDescent="0.2">
      <c r="A1056" s="525" t="s">
        <v>1068</v>
      </c>
      <c r="B1056" s="525"/>
      <c r="C1056" s="531"/>
      <c r="D1056" s="525"/>
      <c r="E1056" s="527">
        <f>(E1050-E1051-E1052)+(E1053+E1054+E1055)</f>
        <v>0</v>
      </c>
    </row>
    <row r="1057" spans="1:5" x14ac:dyDescent="0.2">
      <c r="A1057" s="522" t="s">
        <v>1006</v>
      </c>
      <c r="B1057" s="522" t="s">
        <v>990</v>
      </c>
      <c r="C1057" s="522">
        <v>2300</v>
      </c>
      <c r="D1057" s="522">
        <v>6820</v>
      </c>
      <c r="E1057" s="523">
        <f>SUMIFS('Accounting data'!$G$2:$G$37002,'Accounting data'!$H$2:$H$37002,"11*",'Accounting data'!$J$2:$J$37002,"23*",'Accounting data'!$K$2:$K$37002,"682*")+SUMIFS('Accounting data'!$G$2:$G$37002,'Accounting data'!$H$2:$H$37002,"12*",'Accounting data'!$J$2:$J$37002,"23*",'Accounting data'!$K$2:$K$37002,"682*")+SUMIFS('Accounting data'!$G$2:$G$37002,'Accounting data'!$H$2:$H$37002,"13*",'Accounting data'!$J$2:$J$37002,"23*",'Accounting data'!$K$2:$K$37002,"682*")+SUMIFS('Accounting data'!$G$2:$G$37002,'Accounting data'!$H$2:$H$37002,"639",'Accounting data'!$J$2:$J$37002,"23*",'Accounting data'!$K$2:$K$37002,"682*")+SUMIFS('Accounting data'!$G$2:$G$37002,'Accounting data'!$H$2:$H$37002,"699",'Accounting data'!$J$2:$J$37002,"23*",'Accounting data'!$K$2:$K$37002,"682*")+SUMIFS('Accounting data'!$G$2:$G$37002,'Accounting data'!$H$2:$H$37002,"72?",'Accounting data'!$J$2:$J$37002,"23*",'Accounting data'!$K$2:$K$37002,"682*")</f>
        <v>0</v>
      </c>
    </row>
    <row r="1058" spans="1:5" x14ac:dyDescent="0.2">
      <c r="A1058" s="522" t="s">
        <v>1006</v>
      </c>
      <c r="B1058" s="524">
        <v>700</v>
      </c>
      <c r="C1058" s="522">
        <v>2300</v>
      </c>
      <c r="D1058" s="522">
        <v>6820</v>
      </c>
      <c r="E1058" s="523">
        <f>SUMIFS('Accounting data'!$G$2:$G$37002,'Accounting data'!$H$2:$H$37002,"11*",'Accounting data'!$I$2:$I$37002,"7*",'Accounting data'!$J$2:$J$37002,"23*",'Accounting data'!$K$2:$K$37002,"682*")+SUMIFS('Accounting data'!$G$2:$G$37002,'Accounting data'!$H$2:$H$37002,"12*",'Accounting data'!$I$2:$I$37002,"7*",'Accounting data'!$J$2:$J$37002,"23*",'Accounting data'!$K$2:$K$37002,"682*")+SUMIFS('Accounting data'!$G$2:$G$37002,'Accounting data'!$H$2:$H$37002,"13*",'Accounting data'!$I$2:$I$37002,"7*",'Accounting data'!$J$2:$J$37002,"23*",'Accounting data'!$K$2:$K$37002,"682*")+SUMIFS('Accounting data'!$G$2:$G$37002,'Accounting data'!$H$2:$H$37002,"639",'Accounting data'!$I$2:$I$37002,"7*",'Accounting data'!$J$2:$J$37002,"23*",'Accounting data'!$K$2:$K$37002,"682*")+SUMIFS('Accounting data'!$G$2:$G$37002,'Accounting data'!$H$2:$H$37002,"699",'Accounting data'!$I$2:$I$37002,"7*",'Accounting data'!$J$2:$J$37002,"23*",'Accounting data'!$K$2:$K$37002,"682*")+SUMIFS('Accounting data'!$G$2:$G$37002,'Accounting data'!$H$2:$H$37002,"72?",'Accounting data'!$I$2:$I$37002,"7*",'Accounting data'!$J$2:$J$37002,"23*",'Accounting data'!$K$2:$K$37002,"682*")</f>
        <v>0</v>
      </c>
    </row>
    <row r="1059" spans="1:5" x14ac:dyDescent="0.2">
      <c r="A1059" s="522" t="s">
        <v>1006</v>
      </c>
      <c r="B1059" s="524">
        <v>800</v>
      </c>
      <c r="C1059" s="522">
        <v>2300</v>
      </c>
      <c r="D1059" s="522">
        <v>6820</v>
      </c>
      <c r="E1059" s="523">
        <f>SUMIFS('Accounting data'!$G$2:$G$37002,'Accounting data'!$H$2:$H$37002,"11*",'Accounting data'!$I$2:$I$37002,"8*",'Accounting data'!$J$2:$J$37002,"23*",'Accounting data'!$K$2:$K$37002,"682*")+SUMIFS('Accounting data'!$G$2:$G$37002,'Accounting data'!$H$2:$H$37002,"12*",'Accounting data'!$I$2:$I$37002,"8*",'Accounting data'!$J$2:$J$37002,"23*",'Accounting data'!$K$2:$K$37002,"682*")+SUMIFS('Accounting data'!$G$2:$G$37002,'Accounting data'!$H$2:$H$37002,"13*",'Accounting data'!$I$2:$I$37002,"8*",'Accounting data'!$J$2:$J$37002,"23*",'Accounting data'!$K$2:$K$37002,"682*")+SUMIFS('Accounting data'!$G$2:$G$37002,'Accounting data'!$H$2:$H$37002,"639",'Accounting data'!$I$2:$I$37002,"8*",'Accounting data'!$J$2:$J$37002,"23*",'Accounting data'!$K$2:$K$37002,"682*")+SUMIFS('Accounting data'!$G$2:$G$37002,'Accounting data'!$H$2:$H$37002,"699",'Accounting data'!$I$2:$I$37002,"8*",'Accounting data'!$J$2:$J$37002,"23*",'Accounting data'!$K$2:$K$37002,"682*")+SUMIFS('Accounting data'!$G$2:$G$37002,'Accounting data'!$H$2:$H$37002,"72?",'Accounting data'!$I$2:$I$37002,"8*",'Accounting data'!$J$2:$J$37002,"23*",'Accounting data'!$K$2:$K$37002,"682*")</f>
        <v>0</v>
      </c>
    </row>
    <row r="1060" spans="1:5" x14ac:dyDescent="0.2">
      <c r="A1060" s="522" t="s">
        <v>1006</v>
      </c>
      <c r="B1060" s="524">
        <v>900</v>
      </c>
      <c r="C1060" s="522">
        <v>2300</v>
      </c>
      <c r="D1060" s="522">
        <v>6820</v>
      </c>
      <c r="E1060" s="523">
        <f>SUMIFS('Accounting data'!$G$2:$G$37002,'Accounting data'!$H$2:$H$37002,"11*",'Accounting data'!$I$2:$I$37002,"9*",'Accounting data'!$J$2:$J$37002,"23*",'Accounting data'!$K$2:$K$37002,"682*")+SUMIFS('Accounting data'!$G$2:$G$37002,'Accounting data'!$H$2:$H$37002,"12*",'Accounting data'!$I$2:$I$37002,"9*",'Accounting data'!$J$2:$J$37002,"23*",'Accounting data'!$K$2:$K$37002,"682*")+SUMIFS('Accounting data'!$G$2:$G$37002,'Accounting data'!$H$2:$H$37002,"13*",'Accounting data'!$I$2:$I$37002,"9*",'Accounting data'!$J$2:$J$37002,"23*",'Accounting data'!$K$2:$K$37002,"682*")+SUMIFS('Accounting data'!$G$2:$G$37002,'Accounting data'!$H$2:$H$37002,"639",'Accounting data'!$I$2:$I$37002,"9*",'Accounting data'!$J$2:$J$37002,"23*",'Accounting data'!$K$2:$K$37002,"682*")+SUMIFS('Accounting data'!$G$2:$G$37002,'Accounting data'!$H$2:$H$37002,"699",'Accounting data'!$I$2:$I$37002,"9*",'Accounting data'!$J$2:$J$37002,"23*",'Accounting data'!$K$2:$K$37002,"682*")+SUMIFS('Accounting data'!$G$2:$G$37002,'Accounting data'!$H$2:$H$37002,"72?",'Accounting data'!$I$2:$I$37002,"9*",'Accounting data'!$J$2:$J$37002,"23*",'Accounting data'!$K$2:$K$37002,"682*")</f>
        <v>0</v>
      </c>
    </row>
    <row r="1061" spans="1:5" x14ac:dyDescent="0.2">
      <c r="A1061" s="525" t="s">
        <v>1069</v>
      </c>
      <c r="B1061" s="525"/>
      <c r="C1061" s="525"/>
      <c r="D1061" s="525"/>
      <c r="E1061" s="527">
        <f>E1057-E1058-E1059-E1060</f>
        <v>0</v>
      </c>
    </row>
    <row r="1076" spans="1:5" x14ac:dyDescent="0.2">
      <c r="A1076" s="522" t="s">
        <v>990</v>
      </c>
      <c r="B1076" s="522" t="s">
        <v>990</v>
      </c>
      <c r="C1076" s="522">
        <v>2500</v>
      </c>
      <c r="D1076" s="531">
        <v>6850</v>
      </c>
      <c r="E1076" s="523">
        <f>SUMIFS('Accounting data'!$G$2:$G$37002,'Accounting data'!$J$2:$J$37002,"25*",'Accounting data'!$K$2:$K$37002,"685*")</f>
        <v>55000</v>
      </c>
    </row>
    <row r="1077" spans="1:5" x14ac:dyDescent="0.2">
      <c r="A1077" s="522" t="s">
        <v>991</v>
      </c>
      <c r="B1077" s="522" t="s">
        <v>990</v>
      </c>
      <c r="C1077" s="522">
        <v>2500</v>
      </c>
      <c r="D1077" s="531">
        <v>6850</v>
      </c>
      <c r="E1077" s="523">
        <f>SUMIFS('Accounting data'!$G$2:$G$37002,'Accounting data'!$H$2:$H$37002,"9999*",'Accounting data'!$J$2:$J$37002,"25*",'Accounting data'!$K$2:$K$37002,"685*")</f>
        <v>0</v>
      </c>
    </row>
    <row r="1078" spans="1:5" x14ac:dyDescent="0.2">
      <c r="A1078" s="522" t="s">
        <v>990</v>
      </c>
      <c r="B1078" s="522" t="s">
        <v>992</v>
      </c>
      <c r="C1078" s="522">
        <v>2500</v>
      </c>
      <c r="D1078" s="531">
        <v>6850</v>
      </c>
      <c r="E1078" s="523">
        <f>SUMIFS('Accounting data'!$G$2:$G$37002,'Accounting data'!$I$2:$I$37002,"7*",'Accounting data'!$J$2:$J$37002,"25*",'Accounting data'!$K$2:$K$37002,"685*")+SUMIFS('Accounting data'!$G$2:$G$37002,'Accounting data'!$I$2:$I$37002,"8*",'Accounting data'!$J$2:$J$37002,"25*",'Accounting data'!$K$2:$K$37002,"685*")+SUMIFS('Accounting data'!$G$2:$G$37002,'Accounting data'!$I$2:$I$37002,"9*",'Accounting data'!$J$2:$J$37002,"25*",'Accounting data'!$K$2:$K$37002,"685*")</f>
        <v>0</v>
      </c>
    </row>
    <row r="1079" spans="1:5" x14ac:dyDescent="0.2">
      <c r="A1079" s="524" t="s">
        <v>991</v>
      </c>
      <c r="B1079" s="522" t="s">
        <v>992</v>
      </c>
      <c r="C1079" s="522">
        <v>2500</v>
      </c>
      <c r="D1079" s="531">
        <v>6850</v>
      </c>
      <c r="E1079" s="523">
        <f>SUMIFS('Accounting data'!$G$2:$G$37002,'Accounting data'!$H$2:$H$37002,"9999*",'Accounting data'!$I$2:$I$37002,"7*",'Accounting data'!$J$2:$J$37002,"25*",'Accounting data'!$K$2:$K$37002,"685*")+SUMIFS('Accounting data'!$G$2:$G$37002,'Accounting data'!$H$2:$H$37002,"9999*",'Accounting data'!$I$2:$I$37002,"8*",'Accounting data'!$J$2:$J$37002,"25*",'Accounting data'!$K$2:$K$37002,"685*")+SUMIFS('Accounting data'!$G$2:$G$37002,'Accounting data'!$H$2:$H$37002,"9999*",'Accounting data'!$I$2:$I$37002,"9*",'Accounting data'!$J$2:$J$37002,"25*",'Accounting data'!$K$2:$K$37002,"685*")</f>
        <v>0</v>
      </c>
    </row>
    <row r="1080" spans="1:5" x14ac:dyDescent="0.2">
      <c r="A1080" s="522"/>
      <c r="B1080" s="522"/>
      <c r="C1080" s="522"/>
      <c r="D1080" s="531"/>
      <c r="E1080" s="523"/>
    </row>
    <row r="1081" spans="1:5" x14ac:dyDescent="0.2">
      <c r="A1081" s="522"/>
      <c r="B1081" s="522"/>
      <c r="C1081" s="522"/>
      <c r="D1081" s="531"/>
      <c r="E1081" s="523"/>
    </row>
    <row r="1082" spans="1:5" x14ac:dyDescent="0.2">
      <c r="A1082" s="525" t="s">
        <v>1070</v>
      </c>
      <c r="B1082" s="525"/>
      <c r="C1082" s="525"/>
      <c r="D1082" s="525"/>
      <c r="E1082" s="527">
        <f>(E1076-E1077-E1078)+(E1079+E1080+E1081)</f>
        <v>55000</v>
      </c>
    </row>
    <row r="1105" spans="1:5" x14ac:dyDescent="0.2">
      <c r="A1105" s="522" t="s">
        <v>1006</v>
      </c>
      <c r="B1105" s="522" t="s">
        <v>990</v>
      </c>
      <c r="C1105" s="531">
        <v>2500</v>
      </c>
      <c r="D1105" s="522">
        <v>6850</v>
      </c>
      <c r="E1105" s="523">
        <f>SUMIFS('Accounting data'!$G$2:$G$37002,'Accounting data'!$H$2:$H$37002,"11*",'Accounting data'!$J$2:$J$37002,"25*",'Accounting data'!$K$2:$K$37002,"685*")+SUMIFS('Accounting data'!$G$2:$G$37002,'Accounting data'!$H$2:$H$37002,"12*",'Accounting data'!$J$2:$J$37002,"25*",'Accounting data'!$K$2:$K$37002,"685*")+SUMIFS('Accounting data'!$G$2:$G$37002,'Accounting data'!$H$2:$H$37002,"13*",'Accounting data'!$J$2:$J$37002,"25*",'Accounting data'!$K$2:$K$37002,"685*")</f>
        <v>0</v>
      </c>
    </row>
    <row r="1106" spans="1:5" x14ac:dyDescent="0.2">
      <c r="A1106" s="522" t="s">
        <v>1006</v>
      </c>
      <c r="B1106" s="524">
        <v>700</v>
      </c>
      <c r="C1106" s="522">
        <v>2500</v>
      </c>
      <c r="D1106" s="522">
        <v>6850</v>
      </c>
      <c r="E1106" s="523">
        <f>SUMIFS('Accounting data'!$G$2:$G$37002,'Accounting data'!$H$2:$H$37002,"11*",'Accounting data'!$I$2:$I$37002,"7*",'Accounting data'!$J$2:$J$37002,"25*",'Accounting data'!$K$2:$K$37002,"685*")+SUMIFS('Accounting data'!$G$2:$G$37002,'Accounting data'!$H$2:$H$37002,"12*",'Accounting data'!$I$2:$I$37002,"7*",'Accounting data'!$J$2:$J$37002,"25*",'Accounting data'!$K$2:$K$37002,"685*")+SUMIFS('Accounting data'!$G$2:$G$37002,'Accounting data'!$H$2:$H$37002,"13*",'Accounting data'!$I$2:$I$37002,"7*",'Accounting data'!$J$2:$J$37002,"25*",'Accounting data'!$K$2:$K$37002,"685*")</f>
        <v>0</v>
      </c>
    </row>
    <row r="1107" spans="1:5" x14ac:dyDescent="0.2">
      <c r="A1107" s="522" t="s">
        <v>1006</v>
      </c>
      <c r="B1107" s="524">
        <v>800</v>
      </c>
      <c r="C1107" s="522">
        <v>2500</v>
      </c>
      <c r="D1107" s="522">
        <v>6850</v>
      </c>
      <c r="E1107" s="523">
        <f>SUMIFS('Accounting data'!$G$2:$G$37002,'Accounting data'!$H$2:$H$37002,"11*",'Accounting data'!$I$2:$I$37002,"8*",'Accounting data'!$J$2:$J$37002,"25*",'Accounting data'!$K$2:$K$37002,"685*")+SUMIFS('Accounting data'!$G$2:$G$37002,'Accounting data'!$H$2:$H$37002,"12*",'Accounting data'!$I$2:$I$37002,"8*",'Accounting data'!$J$2:$J$37002,"25*",'Accounting data'!$K$2:$K$37002,"685*")+SUMIFS('Accounting data'!$G$2:$G$37002,'Accounting data'!$H$2:$H$37002,"13*",'Accounting data'!$I$2:$I$37002,"8*",'Accounting data'!$J$2:$J$37002,"25*",'Accounting data'!$K$2:$K$37002,"685*")</f>
        <v>0</v>
      </c>
    </row>
    <row r="1108" spans="1:5" x14ac:dyDescent="0.2">
      <c r="A1108" s="522" t="s">
        <v>1006</v>
      </c>
      <c r="B1108" s="524">
        <v>900</v>
      </c>
      <c r="C1108" s="522">
        <v>2500</v>
      </c>
      <c r="D1108" s="522">
        <v>6850</v>
      </c>
      <c r="E1108" s="523">
        <f>SUMIFS('Accounting data'!$G$2:$G$37002,'Accounting data'!$H$2:$H$37002,"11*",'Accounting data'!$I$2:$I$37002,"9*",'Accounting data'!$J$2:$J$37002,"25*",'Accounting data'!$K$2:$K$37002,"685*")+SUMIFS('Accounting data'!$G$2:$G$37002,'Accounting data'!$H$2:$H$37002,"12*",'Accounting data'!$I$2:$I$37002,"9*",'Accounting data'!$J$2:$J$37002,"25*",'Accounting data'!$K$2:$K$37002,"685*")+SUMIFS('Accounting data'!$G$2:$G$37002,'Accounting data'!$H$2:$H$37002,"13*",'Accounting data'!$I$2:$I$37002,"9*",'Accounting data'!$J$2:$J$37002,"25*",'Accounting data'!$K$2:$K$37002,"685*")</f>
        <v>0</v>
      </c>
    </row>
    <row r="1109" spans="1:5" x14ac:dyDescent="0.2">
      <c r="A1109" s="525" t="s">
        <v>1071</v>
      </c>
      <c r="B1109" s="525"/>
      <c r="C1109" s="525"/>
      <c r="D1109" s="525"/>
      <c r="E1109" s="527">
        <f>E1105-(E1106+E1107+E1108)</f>
        <v>0</v>
      </c>
    </row>
    <row r="1110" spans="1:5" x14ac:dyDescent="0.2">
      <c r="A1110" s="522" t="s">
        <v>990</v>
      </c>
      <c r="B1110" s="522" t="s">
        <v>990</v>
      </c>
      <c r="C1110" s="522">
        <v>1000</v>
      </c>
      <c r="D1110" s="531">
        <v>6890</v>
      </c>
      <c r="E1110" s="523">
        <f>SUMIFS('Accounting data'!$G$2:$G$37002,'Accounting data'!$J$2:$J$37002,"1*",'Accounting data'!$K$2:$K$37002,"689*")</f>
        <v>326602</v>
      </c>
    </row>
    <row r="1111" spans="1:5" x14ac:dyDescent="0.2">
      <c r="A1111" s="522" t="s">
        <v>991</v>
      </c>
      <c r="B1111" s="522" t="s">
        <v>990</v>
      </c>
      <c r="C1111" s="522">
        <v>1000</v>
      </c>
      <c r="D1111" s="531">
        <v>6890</v>
      </c>
      <c r="E1111" s="523">
        <f>SUMIFS('Accounting data'!$G$2:$G$37002,'Accounting data'!$H$2:$H$37002,"9999*",'Accounting data'!$J$2:$J$37002,"1*",'Accounting data'!$K$2:$K$37002,"689*")</f>
        <v>0</v>
      </c>
    </row>
    <row r="1112" spans="1:5" x14ac:dyDescent="0.2">
      <c r="A1112" s="522" t="s">
        <v>990</v>
      </c>
      <c r="B1112" s="522" t="s">
        <v>992</v>
      </c>
      <c r="C1112" s="522">
        <v>1000</v>
      </c>
      <c r="D1112" s="531">
        <v>6890</v>
      </c>
      <c r="E1112" s="523">
        <f>SUMIFS('Accounting data'!$G$2:$G$37002,'Accounting data'!$I$2:$I$37002,"7*",'Accounting data'!$J$2:$J$37002,"1*",'Accounting data'!$K$2:$K$37002,"689*")+SUMIFS('Accounting data'!$G$2:$G$37002,'Accounting data'!$I$2:$I$37002,"8*",'Accounting data'!$J$2:$J$37002,"1*",'Accounting data'!$K$2:$K$37002,"689*")+SUMIFS('Accounting data'!$G$2:$G$37002,'Accounting data'!$I$2:$I$37002,"9*",'Accounting data'!$J$2:$J$37002,"1*",'Accounting data'!$K$2:$K$37002,"689*")</f>
        <v>0</v>
      </c>
    </row>
    <row r="1113" spans="1:5" x14ac:dyDescent="0.2">
      <c r="A1113" s="524" t="s">
        <v>991</v>
      </c>
      <c r="B1113" s="522" t="s">
        <v>992</v>
      </c>
      <c r="C1113" s="522">
        <v>1000</v>
      </c>
      <c r="D1113" s="531">
        <v>6890</v>
      </c>
      <c r="E1113" s="523">
        <f>SUMIFS('Accounting data'!$G$2:$G$37002,'Accounting data'!$H$2:$H$37002,"9999*",'Accounting data'!$I$2:$I$37002,"7*",'Accounting data'!$J$2:$J$37002,"1*",'Accounting data'!$K$2:$K$37002,"689*")+SUMIFS('Accounting data'!$G$2:$G$37002,'Accounting data'!$H$2:$H$37002,"9999*",'Accounting data'!$I$2:$I$37002,"8*",'Accounting data'!$J$2:$J$37002,"1*",'Accounting data'!$K$2:$K$37002,"689*")+SUMIFS('Accounting data'!$G$2:$G$37002,'Accounting data'!$H$2:$H$37002,"9999*",'Accounting data'!$I$2:$I$37002,"9*",'Accounting data'!$J$2:$J$37002,"1*",'Accounting data'!$K$2:$K$37002,"689*")</f>
        <v>0</v>
      </c>
    </row>
    <row r="1114" spans="1:5" x14ac:dyDescent="0.2">
      <c r="A1114" s="522"/>
      <c r="B1114" s="522"/>
      <c r="C1114" s="522"/>
      <c r="D1114" s="531"/>
      <c r="E1114" s="523"/>
    </row>
    <row r="1115" spans="1:5" x14ac:dyDescent="0.2">
      <c r="A1115" s="522"/>
      <c r="B1115" s="522"/>
      <c r="C1115" s="522"/>
      <c r="D1115" s="531"/>
      <c r="E1115" s="523"/>
    </row>
    <row r="1116" spans="1:5" x14ac:dyDescent="0.2">
      <c r="A1116" s="525" t="s">
        <v>1072</v>
      </c>
      <c r="B1116" s="525"/>
      <c r="C1116" s="525"/>
      <c r="D1116" s="525"/>
      <c r="E1116" s="527">
        <f>(E1110-E1111-E1112)+(E1113+E1114+E1115)</f>
        <v>326602</v>
      </c>
    </row>
    <row r="1117" spans="1:5" x14ac:dyDescent="0.2">
      <c r="A1117" s="522" t="s">
        <v>990</v>
      </c>
      <c r="B1117" s="522" t="s">
        <v>990</v>
      </c>
      <c r="C1117" s="522">
        <v>2100</v>
      </c>
      <c r="D1117" s="531">
        <v>6890</v>
      </c>
      <c r="E1117" s="523">
        <f>SUMIFS('Accounting data'!$G$2:$G$37002,'Accounting data'!$J$2:$J$37002,"21*",'Accounting data'!$K$2:$K$37002,"689*")</f>
        <v>0</v>
      </c>
    </row>
    <row r="1118" spans="1:5" x14ac:dyDescent="0.2">
      <c r="A1118" s="522" t="s">
        <v>991</v>
      </c>
      <c r="B1118" s="522" t="s">
        <v>990</v>
      </c>
      <c r="C1118" s="522">
        <v>2100</v>
      </c>
      <c r="D1118" s="531">
        <v>6890</v>
      </c>
      <c r="E1118" s="523">
        <f>SUMIFS('Accounting data'!$G$2:$G$37002,'Accounting data'!$H$2:$H$37002,"9999*",'Accounting data'!$J$2:$J$37002,"21*",'Accounting data'!$K$2:$K$37002,"689*")</f>
        <v>0</v>
      </c>
    </row>
    <row r="1119" spans="1:5" x14ac:dyDescent="0.2">
      <c r="A1119" s="522" t="s">
        <v>990</v>
      </c>
      <c r="B1119" s="522" t="s">
        <v>992</v>
      </c>
      <c r="C1119" s="522">
        <v>2100</v>
      </c>
      <c r="D1119" s="531">
        <v>6890</v>
      </c>
      <c r="E1119" s="523">
        <f>SUMIFS('Accounting data'!$G$2:$G$37002,'Accounting data'!$H$2:$H$37002,"9999*",'Accounting data'!$J$2:$J$37002,"21*",'Accounting data'!$K$2:$K$37002,"689*")+SUMIFS('Accounting data'!$G$2:$G$37002,'Accounting data'!$H$2:$H$37002,"8*",'Accounting data'!$J$2:$J$37002,"21*",'Accounting data'!$K$2:$K$37002,"689*")+SUMIFS('Accounting data'!$G$2:$G$37002,'Accounting data'!$H$2:$H$37002,"9*",'Accounting data'!$J$2:$J$37002,"21*",'Accounting data'!$K$2:$K$37002,"689*")</f>
        <v>0</v>
      </c>
    </row>
    <row r="1120" spans="1:5" x14ac:dyDescent="0.2">
      <c r="A1120" s="524" t="s">
        <v>991</v>
      </c>
      <c r="B1120" s="522" t="s">
        <v>992</v>
      </c>
      <c r="C1120" s="522">
        <v>2100</v>
      </c>
      <c r="D1120" s="531">
        <v>6890</v>
      </c>
      <c r="E1120" s="523">
        <f>SUMIFS('Accounting data'!$G$2:$G$37002,'Accounting data'!$H$2:$H$37002,"9999*",'Accounting data'!$J$2:$J$37002,"21*",'Accounting data'!$K$2:$K$37002,"689*")+SUMIFS('Accounting data'!$G$2:$G$37002,'Accounting data'!$H$2:$H$37002,"8*",'Accounting data'!$J$2:$J$37002,"21*",'Accounting data'!$K$2:$K$37002,"689*")+SUMIFS('Accounting data'!$G$2:$G$37002,'Accounting data'!$H$2:$H$37002,"9*",'Accounting data'!$J$2:$J$37002,"21*",'Accounting data'!$K$2:$K$37002,"689*")</f>
        <v>0</v>
      </c>
    </row>
    <row r="1123" spans="1:5" x14ac:dyDescent="0.2">
      <c r="A1123" s="525" t="s">
        <v>1073</v>
      </c>
      <c r="B1123" s="525"/>
      <c r="C1123" s="525"/>
      <c r="D1123" s="525"/>
      <c r="E1123" s="527">
        <f>(E1117-E1118-E1119)+(E1120+E1121+E1122)</f>
        <v>0</v>
      </c>
    </row>
    <row r="1124" spans="1:5" x14ac:dyDescent="0.2">
      <c r="A1124" s="522" t="s">
        <v>990</v>
      </c>
      <c r="B1124" s="522" t="s">
        <v>990</v>
      </c>
      <c r="C1124" s="522">
        <v>2200</v>
      </c>
      <c r="D1124" s="531">
        <v>6890</v>
      </c>
      <c r="E1124" s="523">
        <f>SUMIFS('Accounting data'!$G$2:$G$37002,'Accounting data'!$J$2:$J$37002,"22*",'Accounting data'!$K$2:$K$37002,"689*")</f>
        <v>0</v>
      </c>
    </row>
    <row r="1125" spans="1:5" x14ac:dyDescent="0.2">
      <c r="A1125" s="522" t="s">
        <v>991</v>
      </c>
      <c r="B1125" s="522" t="s">
        <v>990</v>
      </c>
      <c r="C1125" s="522">
        <v>2200</v>
      </c>
      <c r="D1125" s="531">
        <v>6890</v>
      </c>
      <c r="E1125" s="523">
        <f>SUMIFS('Accounting data'!$G$2:$G$37002,'Accounting data'!$H$2:$H$37002,"9999*",'Accounting data'!$J$2:$J$37002,"22*",'Accounting data'!$K$2:$K$37002,"689*")</f>
        <v>0</v>
      </c>
    </row>
    <row r="1126" spans="1:5" x14ac:dyDescent="0.2">
      <c r="A1126" s="522" t="s">
        <v>990</v>
      </c>
      <c r="B1126" s="522" t="s">
        <v>992</v>
      </c>
      <c r="C1126" s="522">
        <v>2200</v>
      </c>
      <c r="D1126" s="531">
        <v>6890</v>
      </c>
      <c r="E1126" s="523">
        <f>SUMIFS('Accounting data'!$G$2:$G$37002,'Accounting data'!$I$2:$I$37002,"7*",'Accounting data'!$J$2:$J$37002,"22*",'Accounting data'!$K$2:$K$37002,"689*")+SUMIFS('Accounting data'!$G$2:$G$37002,'Accounting data'!$I$2:$I$37002,"8*",'Accounting data'!$J$2:$J$37002,"22*",'Accounting data'!$K$2:$K$37002,"689*")+SUMIFS('Accounting data'!$G$2:$G$37002,'Accounting data'!$I$2:$I$37002,"9*",'Accounting data'!$J$2:$J$37002,"22*",'Accounting data'!$K$2:$K$37002,"689*")</f>
        <v>0</v>
      </c>
    </row>
    <row r="1127" spans="1:5" x14ac:dyDescent="0.2">
      <c r="A1127" s="524" t="s">
        <v>991</v>
      </c>
      <c r="B1127" s="522" t="s">
        <v>992</v>
      </c>
      <c r="C1127" s="522">
        <v>2200</v>
      </c>
      <c r="D1127" s="531">
        <v>6890</v>
      </c>
      <c r="E1127" s="523">
        <f>SUMIFS('Accounting data'!$G$2:$G$37002,'Accounting data'!$H$2:$H$37002,"9999*",'Accounting data'!$I$2:$I$37002,"7*",'Accounting data'!$J$2:$J$37002,"22*",'Accounting data'!$K$2:$K$37002,"689*")+SUMIFS('Accounting data'!$G$2:$G$37002,'Accounting data'!$H$2:$H$37002,"9999*",'Accounting data'!$I$2:$I$37002,"8*",'Accounting data'!$J$2:$J$37002,"22*",'Accounting data'!$K$2:$K$37002,"689*")+SUMIFS('Accounting data'!$G$2:$G$37002,'Accounting data'!$H$2:$H$37002,"9999*",'Accounting data'!$I$2:$I$37002,"9*",'Accounting data'!$J$2:$J$37002,"22*",'Accounting data'!$K$2:$K$37002,"689*")</f>
        <v>0</v>
      </c>
    </row>
    <row r="1128" spans="1:5" x14ac:dyDescent="0.2">
      <c r="A1128" s="522"/>
      <c r="B1128" s="522"/>
      <c r="C1128" s="522"/>
      <c r="D1128" s="531"/>
      <c r="E1128" s="523"/>
    </row>
    <row r="1129" spans="1:5" x14ac:dyDescent="0.2">
      <c r="A1129" s="522"/>
      <c r="B1129" s="522"/>
      <c r="C1129" s="522"/>
      <c r="D1129" s="531"/>
      <c r="E1129" s="523"/>
    </row>
    <row r="1130" spans="1:5" x14ac:dyDescent="0.2">
      <c r="A1130" s="525" t="s">
        <v>1074</v>
      </c>
      <c r="B1130" s="525"/>
      <c r="C1130" s="525"/>
      <c r="D1130" s="525"/>
      <c r="E1130" s="527">
        <f>(E1124-E1125-E1126)+(E1127+E1128+E1129)</f>
        <v>0</v>
      </c>
    </row>
    <row r="1131" spans="1:5" x14ac:dyDescent="0.2">
      <c r="A1131" s="522" t="s">
        <v>990</v>
      </c>
      <c r="B1131" s="522" t="s">
        <v>990</v>
      </c>
      <c r="C1131" s="522">
        <v>2300</v>
      </c>
      <c r="D1131" s="531">
        <v>6890</v>
      </c>
      <c r="E1131" s="523">
        <f>SUMIFS('Accounting data'!$G$2:$G$37002,'Accounting data'!$J$2:$J$37002,"23*",'Accounting data'!$K$2:$K$37002,"689*")</f>
        <v>0</v>
      </c>
    </row>
    <row r="1132" spans="1:5" x14ac:dyDescent="0.2">
      <c r="A1132" s="522" t="s">
        <v>991</v>
      </c>
      <c r="B1132" s="522" t="s">
        <v>990</v>
      </c>
      <c r="C1132" s="522">
        <v>2300</v>
      </c>
      <c r="D1132" s="531">
        <v>6890</v>
      </c>
      <c r="E1132" s="523">
        <f>SUMIFS('Accounting data'!$G$2:$G$37002,'Accounting data'!$H$2:$H$37002,"9999*",'Accounting data'!$J$2:$J$37002,"23*",'Accounting data'!$K$2:$K$37002,"689*")</f>
        <v>0</v>
      </c>
    </row>
    <row r="1133" spans="1:5" x14ac:dyDescent="0.2">
      <c r="A1133" s="522" t="s">
        <v>990</v>
      </c>
      <c r="B1133" s="522" t="s">
        <v>992</v>
      </c>
      <c r="C1133" s="522">
        <v>2300</v>
      </c>
      <c r="D1133" s="531">
        <v>6890</v>
      </c>
      <c r="E1133" s="523">
        <f>SUMIFS('Accounting data'!$G$2:$G$37002,'Accounting data'!$I$2:$I$37002,"7*",'Accounting data'!$J$2:$J$37002,"23*",'Accounting data'!$K$2:$K$37002,"689*")+SUMIFS('Accounting data'!$G$2:$G$37002,'Accounting data'!$I$2:$I$37002,"8*",'Accounting data'!$J$2:$J$37002,"23*",'Accounting data'!$K$2:$K$37002,"689*")+SUMIFS('Accounting data'!$G$2:$G$37002,'Accounting data'!$I$2:$I$37002,"9*",'Accounting data'!$J$2:$J$37002,"23*",'Accounting data'!$K$2:$K$37002,"689*")</f>
        <v>0</v>
      </c>
    </row>
    <row r="1134" spans="1:5" x14ac:dyDescent="0.2">
      <c r="A1134" s="524" t="s">
        <v>991</v>
      </c>
      <c r="B1134" s="522" t="s">
        <v>992</v>
      </c>
      <c r="C1134" s="522">
        <v>2300</v>
      </c>
      <c r="D1134" s="531">
        <v>6890</v>
      </c>
      <c r="E1134" s="523">
        <f>SUMIFS('Accounting data'!$G$2:$G$37002,'Accounting data'!$H$2:$H$37002,"9999*",'Accounting data'!$I$2:$I$37002,"7*",'Accounting data'!$J$2:$J$37002,"23*",'Accounting data'!$K$2:$K$37002,"689*")+SUMIFS('Accounting data'!$G$2:$G$37002,'Accounting data'!$H$2:$H$37002,"9999*",'Accounting data'!$I$2:$I$37002,"8*",'Accounting data'!$J$2:$J$37002,"23*",'Accounting data'!$K$2:$K$37002,"689*")+SUMIFS('Accounting data'!$G$2:$G$37002,'Accounting data'!$H$2:$H$37002,"9999*",'Accounting data'!$I$2:$I$37002,"9*",'Accounting data'!$J$2:$J$37002,"23*",'Accounting data'!$K$2:$K$37002,"689*")</f>
        <v>0</v>
      </c>
    </row>
    <row r="1137" spans="1:5" x14ac:dyDescent="0.2">
      <c r="A1137" s="525" t="s">
        <v>1075</v>
      </c>
      <c r="B1137" s="525"/>
      <c r="C1137" s="525"/>
      <c r="D1137" s="525"/>
      <c r="E1137" s="527">
        <f>(E1131-E1132-E1133)+(E1134+E1135+E1136)</f>
        <v>0</v>
      </c>
    </row>
    <row r="1138" spans="1:5" x14ac:dyDescent="0.2">
      <c r="A1138" s="522" t="s">
        <v>990</v>
      </c>
      <c r="B1138" s="522" t="s">
        <v>990</v>
      </c>
      <c r="C1138" s="522">
        <v>2400</v>
      </c>
      <c r="D1138" s="531">
        <v>6890</v>
      </c>
      <c r="E1138" s="523">
        <f>SUMIFS('Accounting data'!$G$2:$G$37002,'Accounting data'!$J$2:$J$37002,"24*",'Accounting data'!$K$2:$K$37002,"689*")</f>
        <v>340</v>
      </c>
    </row>
    <row r="1139" spans="1:5" x14ac:dyDescent="0.2">
      <c r="A1139" s="522" t="s">
        <v>991</v>
      </c>
      <c r="B1139" s="522" t="s">
        <v>990</v>
      </c>
      <c r="C1139" s="522">
        <v>2400</v>
      </c>
      <c r="D1139" s="531">
        <v>6890</v>
      </c>
      <c r="E1139" s="523">
        <f>SUMIFS('Accounting data'!$G$2:$G$37002,'Accounting data'!$H$2:$H$37002,"9999*",'Accounting data'!$J$2:$J$37002,"24*",'Accounting data'!$K$2:$K$37002,"689*")</f>
        <v>0</v>
      </c>
    </row>
    <row r="1140" spans="1:5" x14ac:dyDescent="0.2">
      <c r="A1140" s="522" t="s">
        <v>990</v>
      </c>
      <c r="B1140" s="522" t="s">
        <v>992</v>
      </c>
      <c r="C1140" s="522">
        <v>2400</v>
      </c>
      <c r="D1140" s="531">
        <v>6890</v>
      </c>
      <c r="E1140" s="523">
        <f>SUMIFS('Accounting data'!$G$2:$G$37002,'Accounting data'!$I$2:$I$37002,"7*",'Accounting data'!$J$2:$J$37002,"24*",'Accounting data'!$K$2:$K$37002,"689*")+SUMIFS('Accounting data'!$G$2:$G$37002,'Accounting data'!$I$2:$I$37002,"8*",'Accounting data'!$J$2:$J$37002,"24*",'Accounting data'!$K$2:$K$37002,"689*")+SUMIFS('Accounting data'!$G$2:$G$37002,'Accounting data'!$I$2:$I$37002,"9*",'Accounting data'!$J$2:$J$37002,"24*",'Accounting data'!$K$2:$K$37002,"689*")</f>
        <v>0</v>
      </c>
    </row>
    <row r="1141" spans="1:5" x14ac:dyDescent="0.2">
      <c r="A1141" s="524" t="s">
        <v>991</v>
      </c>
      <c r="B1141" s="522" t="s">
        <v>992</v>
      </c>
      <c r="C1141" s="522">
        <v>2400</v>
      </c>
      <c r="D1141" s="531">
        <v>6890</v>
      </c>
      <c r="E1141" s="523">
        <f>SUMIFS('Accounting data'!$G$2:$G$37002,'Accounting data'!$H$2:$H$37002,"9999*",'Accounting data'!$I$2:$I$37002,"7*",'Accounting data'!$J$2:$J$37002,"24*",'Accounting data'!$K$2:$K$37002,"689*")+SUMIFS('Accounting data'!$G$2:$G$37002,'Accounting data'!$H$2:$H$37002,"9999*",'Accounting data'!$I$2:$I$37002,"8*",'Accounting data'!$J$2:$J$37002,"24*",'Accounting data'!$K$2:$K$37002,"689*")+SUMIFS('Accounting data'!$G$2:$G$37002,'Accounting data'!$H$2:$H$37002,"9999*",'Accounting data'!$I$2:$I$37002,"9*",'Accounting data'!$J$2:$J$37002,"24*",'Accounting data'!$K$2:$K$37002,"689*")</f>
        <v>0</v>
      </c>
    </row>
    <row r="1142" spans="1:5" x14ac:dyDescent="0.2">
      <c r="A1142" s="522"/>
      <c r="B1142" s="522"/>
      <c r="C1142" s="522"/>
      <c r="D1142" s="531"/>
      <c r="E1142" s="523"/>
    </row>
    <row r="1143" spans="1:5" x14ac:dyDescent="0.2">
      <c r="A1143" s="522"/>
      <c r="B1143" s="522"/>
      <c r="C1143" s="522"/>
      <c r="D1143" s="531"/>
      <c r="E1143" s="523"/>
    </row>
    <row r="1144" spans="1:5" x14ac:dyDescent="0.2">
      <c r="A1144" s="525" t="s">
        <v>1076</v>
      </c>
      <c r="B1144" s="525"/>
      <c r="C1144" s="525"/>
      <c r="D1144" s="525"/>
      <c r="E1144" s="527">
        <f>(E1138-E1139-E1140)+(E1141+E1142+E1143)</f>
        <v>340</v>
      </c>
    </row>
    <row r="1145" spans="1:5" x14ac:dyDescent="0.2">
      <c r="A1145" s="522" t="s">
        <v>990</v>
      </c>
      <c r="B1145" s="522" t="s">
        <v>990</v>
      </c>
      <c r="C1145" s="522">
        <v>2500</v>
      </c>
      <c r="D1145" s="531">
        <v>6890</v>
      </c>
      <c r="E1145" s="523">
        <f>SUMIFS('Accounting data'!$G$2:$G$37002,'Accounting data'!$J$2:$J$37002,"25*",'Accounting data'!$K$2:$K$37002,"689*")</f>
        <v>0</v>
      </c>
    </row>
    <row r="1146" spans="1:5" x14ac:dyDescent="0.2">
      <c r="A1146" s="522" t="s">
        <v>991</v>
      </c>
      <c r="B1146" s="522" t="s">
        <v>990</v>
      </c>
      <c r="C1146" s="522">
        <v>2500</v>
      </c>
      <c r="D1146" s="531">
        <v>6890</v>
      </c>
      <c r="E1146" s="523">
        <f>SUMIFS('Accounting data'!$G$2:$G$37002,'Accounting data'!$H$2:$H$37002,"9999*",'Accounting data'!$J$2:$J$37002,"25*",'Accounting data'!$K$2:$K$37002,"689*")</f>
        <v>0</v>
      </c>
    </row>
    <row r="1147" spans="1:5" x14ac:dyDescent="0.2">
      <c r="A1147" s="522" t="s">
        <v>990</v>
      </c>
      <c r="B1147" s="522" t="s">
        <v>992</v>
      </c>
      <c r="C1147" s="522">
        <v>2500</v>
      </c>
      <c r="D1147" s="531">
        <v>6890</v>
      </c>
      <c r="E1147" s="523">
        <f>SUMIFS('Accounting data'!$G$2:$G$37002,'Accounting data'!$I$2:$I$37002,"7*",'Accounting data'!$J$2:$J$37002,"25*",'Accounting data'!$K$2:$K$37002,"689*")+SUMIFS('Accounting data'!$G$2:$G$37002,'Accounting data'!$I$2:$I$37002,"8*",'Accounting data'!$J$2:$J$37002,"25*",'Accounting data'!$K$2:$K$37002,"689*")+SUMIFS('Accounting data'!$G$2:$G$37002,'Accounting data'!$I$2:$I$37002,"9*",'Accounting data'!$J$2:$J$37002,"25*",'Accounting data'!$K$2:$K$37002,"689*")</f>
        <v>0</v>
      </c>
    </row>
    <row r="1148" spans="1:5" x14ac:dyDescent="0.2">
      <c r="A1148" s="524" t="s">
        <v>991</v>
      </c>
      <c r="B1148" s="522" t="s">
        <v>992</v>
      </c>
      <c r="C1148" s="522">
        <v>2500</v>
      </c>
      <c r="D1148" s="531">
        <v>6890</v>
      </c>
      <c r="E1148" s="523">
        <f>SUMIFS('Accounting data'!$G$2:$G$37002,'Accounting data'!$H$2:$H$37002,"9999*",'Accounting data'!$I$2:$I$37002,"7*",'Accounting data'!$J$2:$J$37002,"25*",'Accounting data'!$K$2:$K$37002,"689*")+SUMIFS('Accounting data'!$G$2:$G$37002,'Accounting data'!$H$2:$H$37002,"9999*",'Accounting data'!$I$2:$I$37002,"8*",'Accounting data'!$J$2:$J$37002,"25*",'Accounting data'!$K$2:$K$37002,"689*")+SUMIFS('Accounting data'!$G$2:$G$37002,'Accounting data'!$H$2:$H$37002,"9999*",'Accounting data'!$I$2:$I$37002,"9*",'Accounting data'!$J$2:$J$37002,"25*",'Accounting data'!$K$2:$K$37002,"689*")</f>
        <v>0</v>
      </c>
    </row>
    <row r="1149" spans="1:5" x14ac:dyDescent="0.2">
      <c r="A1149" s="522"/>
      <c r="B1149" s="522"/>
      <c r="C1149" s="522"/>
      <c r="D1149" s="531"/>
      <c r="E1149" s="523"/>
    </row>
    <row r="1150" spans="1:5" x14ac:dyDescent="0.2">
      <c r="A1150" s="522"/>
      <c r="B1150" s="522"/>
      <c r="C1150" s="522"/>
      <c r="D1150" s="531"/>
      <c r="E1150" s="523"/>
    </row>
    <row r="1151" spans="1:5" x14ac:dyDescent="0.2">
      <c r="A1151" s="525" t="s">
        <v>1077</v>
      </c>
      <c r="B1151" s="525"/>
      <c r="C1151" s="525"/>
      <c r="D1151" s="525"/>
      <c r="E1151" s="527">
        <f>(E1145-E1146-E1147)+(E1148+E1149+E1150)</f>
        <v>0</v>
      </c>
    </row>
    <row r="1152" spans="1:5" x14ac:dyDescent="0.2">
      <c r="A1152" s="522" t="s">
        <v>990</v>
      </c>
      <c r="B1152" s="522" t="s">
        <v>990</v>
      </c>
      <c r="C1152" s="522">
        <v>2900</v>
      </c>
      <c r="D1152" s="531">
        <v>6890</v>
      </c>
      <c r="E1152" s="523">
        <f>SUMIFS('Accounting data'!$G$2:$G$37002,'Accounting data'!$J$2:$J$37002,"29*",'Accounting data'!$K$2:$K$37002,"689*")</f>
        <v>0</v>
      </c>
    </row>
    <row r="1153" spans="1:5" x14ac:dyDescent="0.2">
      <c r="A1153" s="522" t="s">
        <v>991</v>
      </c>
      <c r="B1153" s="522" t="s">
        <v>990</v>
      </c>
      <c r="C1153" s="522">
        <v>2900</v>
      </c>
      <c r="D1153" s="531">
        <v>6890</v>
      </c>
      <c r="E1153" s="523">
        <f>SUMIFS('Accounting data'!$G$2:$G$37002,'Accounting data'!$H$2:$H$37002,"9999*",'Accounting data'!$J$2:$J$37002,"29*",'Accounting data'!$K$2:$K$37002,"689*")</f>
        <v>0</v>
      </c>
    </row>
    <row r="1154" spans="1:5" x14ac:dyDescent="0.2">
      <c r="A1154" s="522" t="s">
        <v>990</v>
      </c>
      <c r="B1154" s="522" t="s">
        <v>992</v>
      </c>
      <c r="C1154" s="522">
        <v>2900</v>
      </c>
      <c r="D1154" s="531">
        <v>6890</v>
      </c>
      <c r="E1154" s="523">
        <f>SUMIFS('Accounting data'!$G$2:$G$37002,'Accounting data'!$I$2:$I$37002,"7*",'Accounting data'!$J$2:$J$37002,"29*",'Accounting data'!$K$2:$K$37002,"689*")+SUMIFS('Accounting data'!$G$2:$G$37002,'Accounting data'!$I$2:$I$37002,"8*",'Accounting data'!$J$2:$J$37002,"29*",'Accounting data'!$K$2:$K$37002,"689*")+SUMIFS('Accounting data'!$G$2:$G$37002,'Accounting data'!$I$2:$I$37002,"9*",'Accounting data'!$J$2:$J$37002,"29*",'Accounting data'!$K$2:$K$37002,"689*")</f>
        <v>0</v>
      </c>
    </row>
    <row r="1155" spans="1:5" x14ac:dyDescent="0.2">
      <c r="A1155" s="524" t="s">
        <v>991</v>
      </c>
      <c r="B1155" s="522" t="s">
        <v>992</v>
      </c>
      <c r="C1155" s="522">
        <v>2900</v>
      </c>
      <c r="D1155" s="531">
        <v>6890</v>
      </c>
      <c r="E1155" s="523">
        <f>SUMIFS('Accounting data'!$G$2:$G$37002,'Accounting data'!$H$2:$H$37002,"9999*",'Accounting data'!$I$2:$I$37002,"7*",'Accounting data'!$J$2:$J$37002,"29*",'Accounting data'!$K$2:$K$37002,"689*")+SUMIFS('Accounting data'!$G$2:$G$37002,'Accounting data'!$H$2:$H$37002,"9999*",'Accounting data'!$I$2:$I$37002,"8*",'Accounting data'!$J$2:$J$37002,"29*",'Accounting data'!$K$2:$K$37002,"689*")+SUMIFS('Accounting data'!$G$2:$G$37002,'Accounting data'!$H$2:$H$37002,"9999*",'Accounting data'!$I$2:$I$37002,"9*",'Accounting data'!$J$2:$J$37002,"29*",'Accounting data'!$K$2:$K$37002,"689*")</f>
        <v>0</v>
      </c>
    </row>
    <row r="1156" spans="1:5" x14ac:dyDescent="0.2">
      <c r="A1156" s="522"/>
      <c r="B1156" s="522"/>
      <c r="C1156" s="522"/>
      <c r="D1156" s="531"/>
      <c r="E1156" s="523"/>
    </row>
    <row r="1157" spans="1:5" x14ac:dyDescent="0.2">
      <c r="A1157" s="522"/>
      <c r="B1157" s="522"/>
      <c r="C1157" s="522"/>
      <c r="D1157" s="531"/>
      <c r="E1157" s="523"/>
    </row>
    <row r="1158" spans="1:5" x14ac:dyDescent="0.2">
      <c r="A1158" s="525" t="s">
        <v>1078</v>
      </c>
      <c r="B1158" s="525"/>
      <c r="C1158" s="525"/>
      <c r="D1158" s="525"/>
      <c r="E1158" s="527">
        <f>(E1152-E1153-E1154)+(E1155+E1156+E1157)</f>
        <v>0</v>
      </c>
    </row>
    <row r="1159" spans="1:5" x14ac:dyDescent="0.2">
      <c r="A1159" s="522" t="s">
        <v>990</v>
      </c>
      <c r="B1159" s="522" t="s">
        <v>990</v>
      </c>
      <c r="C1159" s="522">
        <v>2600</v>
      </c>
      <c r="D1159" s="531">
        <v>6890</v>
      </c>
      <c r="E1159" s="523">
        <f>SUMIFS('Accounting data'!$G$2:$G$37002,'Accounting data'!$J$2:$J$37002,"26*",'Accounting data'!$K$2:$K$37002,"689*")</f>
        <v>0</v>
      </c>
    </row>
    <row r="1160" spans="1:5" x14ac:dyDescent="0.2">
      <c r="A1160" s="522" t="s">
        <v>991</v>
      </c>
      <c r="B1160" s="522" t="s">
        <v>990</v>
      </c>
      <c r="C1160" s="522">
        <v>2600</v>
      </c>
      <c r="D1160" s="531">
        <v>6890</v>
      </c>
      <c r="E1160" s="523">
        <f>SUMIFS('Accounting data'!$G$2:$G$37002,'Accounting data'!$H$2:$H$37002,"9999*",'Accounting data'!$J$2:$J$37002,"26*",'Accounting data'!$K$2:$K$37002,"689*")</f>
        <v>0</v>
      </c>
    </row>
    <row r="1161" spans="1:5" x14ac:dyDescent="0.2">
      <c r="A1161" s="522" t="s">
        <v>990</v>
      </c>
      <c r="B1161" s="522" t="s">
        <v>992</v>
      </c>
      <c r="C1161" s="522">
        <v>2600</v>
      </c>
      <c r="D1161" s="531">
        <v>6890</v>
      </c>
      <c r="E1161" s="523">
        <f>SUMIFS('Accounting data'!$G$2:$G$37002,'Accounting data'!$I$2:$I$37002,"7*",'Accounting data'!$J$2:$J$37002,"26*",'Accounting data'!$K$2:$K$37002,"689*")+SUMIFS('Accounting data'!$G$2:$G$37002,'Accounting data'!$I$2:$I$37002,"8*",'Accounting data'!$J$2:$J$37002,"26*",'Accounting data'!$K$2:$K$37002,"689*")+SUMIFS('Accounting data'!$G$2:$G$37002,'Accounting data'!$I$2:$I$37002,"9*",'Accounting data'!$J$2:$J$37002,"26*",'Accounting data'!$K$2:$K$37002,"689*")</f>
        <v>0</v>
      </c>
    </row>
    <row r="1162" spans="1:5" x14ac:dyDescent="0.2">
      <c r="A1162" s="524" t="s">
        <v>991</v>
      </c>
      <c r="B1162" s="522" t="s">
        <v>992</v>
      </c>
      <c r="C1162" s="522">
        <v>2600</v>
      </c>
      <c r="D1162" s="531">
        <v>6890</v>
      </c>
      <c r="E1162" s="523">
        <f>SUMIFS('Accounting data'!$G$2:$G$37002,'Accounting data'!$H$2:$H$37002,"9999*",'Accounting data'!$I$2:$I$37002,"7*",'Accounting data'!$J$2:$J$37002,"26*",'Accounting data'!$K$2:$K$37002,"689*")+SUMIFS('Accounting data'!$G$2:$G$37002,'Accounting data'!$H$2:$H$37002,"9999*",'Accounting data'!$I$2:$I$37002,"8*",'Accounting data'!$J$2:$J$37002,"26*",'Accounting data'!$K$2:$K$37002,"689*")+SUMIFS('Accounting data'!$G$2:$G$37002,'Accounting data'!$H$2:$H$37002,"9999*",'Accounting data'!$I$2:$I$37002,"9*",'Accounting data'!$J$2:$J$37002,"26*",'Accounting data'!$K$2:$K$37002,"689*")</f>
        <v>0</v>
      </c>
    </row>
    <row r="1163" spans="1:5" x14ac:dyDescent="0.2">
      <c r="A1163" s="522"/>
      <c r="B1163" s="522"/>
      <c r="C1163" s="522"/>
      <c r="D1163" s="531"/>
      <c r="E1163" s="523"/>
    </row>
    <row r="1164" spans="1:5" x14ac:dyDescent="0.2">
      <c r="A1164" s="522"/>
      <c r="B1164" s="522"/>
      <c r="C1164" s="522"/>
      <c r="D1164" s="531"/>
      <c r="E1164" s="523"/>
    </row>
    <row r="1165" spans="1:5" x14ac:dyDescent="0.2">
      <c r="A1165" s="525" t="s">
        <v>1079</v>
      </c>
      <c r="B1165" s="525"/>
      <c r="C1165" s="525"/>
      <c r="D1165" s="525"/>
      <c r="E1165" s="527">
        <f>(E1159-E1160-E1161)+(E1162+E1163+E1164)</f>
        <v>0</v>
      </c>
    </row>
    <row r="1166" spans="1:5" x14ac:dyDescent="0.2">
      <c r="A1166" s="522" t="s">
        <v>990</v>
      </c>
      <c r="B1166" s="522" t="s">
        <v>990</v>
      </c>
      <c r="C1166" s="522">
        <v>2700</v>
      </c>
      <c r="D1166" s="531">
        <v>6890</v>
      </c>
      <c r="E1166" s="523">
        <f>SUMIFS('Accounting data'!$G$2:$G$37002,'Accounting data'!$J$2:$J$37002,"27*",'Accounting data'!$K$2:$K$37002,"689*")</f>
        <v>0</v>
      </c>
    </row>
    <row r="1167" spans="1:5" x14ac:dyDescent="0.2">
      <c r="A1167" s="522" t="s">
        <v>991</v>
      </c>
      <c r="B1167" s="522" t="s">
        <v>990</v>
      </c>
      <c r="C1167" s="522">
        <v>2700</v>
      </c>
      <c r="D1167" s="531">
        <v>6890</v>
      </c>
      <c r="E1167" s="523">
        <f>SUMIFS('Accounting data'!$G$2:$G$37002,'Accounting data'!$H$2:$H$37002,"9999*",'Accounting data'!$J$2:$J$37002,"27*",'Accounting data'!$K$2:$K$37002,"689*")</f>
        <v>0</v>
      </c>
    </row>
    <row r="1168" spans="1:5" x14ac:dyDescent="0.2">
      <c r="A1168" s="522" t="s">
        <v>990</v>
      </c>
      <c r="B1168" s="522" t="s">
        <v>992</v>
      </c>
      <c r="C1168" s="522">
        <v>2700</v>
      </c>
      <c r="D1168" s="531">
        <v>6890</v>
      </c>
      <c r="E1168" s="523">
        <f>SUMIFS('Accounting data'!$G$2:$G$37002,'Accounting data'!$I$2:$I$37002,"7*",'Accounting data'!$J$2:$J$37002,"27*",'Accounting data'!$K$2:$K$37002,"689*")+SUMIFS('Accounting data'!$G$2:$G$37002,'Accounting data'!$I$2:$I$37002,"8*",'Accounting data'!$J$2:$J$37002,"27*",'Accounting data'!$K$2:$K$37002,"689*")+SUMIFS('Accounting data'!$G$2:$G$37002,'Accounting data'!$I$2:$I$37002,"9*",'Accounting data'!$J$2:$J$37002,"27*",'Accounting data'!$K$2:$K$37002,"689*")</f>
        <v>0</v>
      </c>
    </row>
    <row r="1169" spans="1:5" x14ac:dyDescent="0.2">
      <c r="A1169" s="524" t="s">
        <v>991</v>
      </c>
      <c r="B1169" s="522" t="s">
        <v>992</v>
      </c>
      <c r="C1169" s="522">
        <v>2700</v>
      </c>
      <c r="D1169" s="531">
        <v>6890</v>
      </c>
      <c r="E1169" s="523">
        <f>SUMIFS('Accounting data'!$G$2:$G$37002,'Accounting data'!$H$2:$H$37002,"9999*",'Accounting data'!$I$2:$I$37002,"7*",'Accounting data'!$J$2:$J$37002,"27*",'Accounting data'!$K$2:$K$37002,"689*")+SUMIFS('Accounting data'!$G$2:$G$37002,'Accounting data'!$H$2:$H$37002,"9999*",'Accounting data'!$I$2:$I$37002,"8*",'Accounting data'!$J$2:$J$37002,"27*",'Accounting data'!$K$2:$K$37002,"689*")+SUMIFS('Accounting data'!$G$2:$G$37002,'Accounting data'!$H$2:$H$37002,"9999*",'Accounting data'!$I$2:$I$37002,"9*",'Accounting data'!$J$2:$J$37002,"27*",'Accounting data'!$K$2:$K$37002,"689*")</f>
        <v>0</v>
      </c>
    </row>
    <row r="1170" spans="1:5" x14ac:dyDescent="0.2">
      <c r="A1170" s="522"/>
      <c r="B1170" s="522"/>
      <c r="C1170" s="522"/>
      <c r="D1170" s="531"/>
      <c r="E1170" s="523"/>
    </row>
    <row r="1171" spans="1:5" x14ac:dyDescent="0.2">
      <c r="A1171" s="522"/>
      <c r="B1171" s="522"/>
      <c r="C1171" s="522"/>
      <c r="D1171" s="531"/>
      <c r="E1171" s="523"/>
    </row>
    <row r="1172" spans="1:5" x14ac:dyDescent="0.2">
      <c r="A1172" s="525" t="s">
        <v>1080</v>
      </c>
      <c r="B1172" s="525"/>
      <c r="C1172" s="525"/>
      <c r="D1172" s="525"/>
      <c r="E1172" s="527">
        <f>(E1166-E1167-E1168)+(E1169+E1170+E1171)</f>
        <v>0</v>
      </c>
    </row>
    <row r="1173" spans="1:5" x14ac:dyDescent="0.2">
      <c r="A1173" s="522" t="s">
        <v>990</v>
      </c>
      <c r="B1173" s="522" t="s">
        <v>990</v>
      </c>
      <c r="C1173" s="522">
        <v>3100</v>
      </c>
      <c r="D1173" s="531">
        <v>6890</v>
      </c>
      <c r="E1173" s="523">
        <f>SUMIFS('Accounting data'!$G$2:$G$37002,'Accounting data'!$J$2:$J$37002,"31*",'Accounting data'!$K$2:$K$37002,"689*")</f>
        <v>0</v>
      </c>
    </row>
    <row r="1174" spans="1:5" x14ac:dyDescent="0.2">
      <c r="A1174" s="522" t="s">
        <v>991</v>
      </c>
      <c r="B1174" s="522" t="s">
        <v>990</v>
      </c>
      <c r="C1174" s="522">
        <v>3100</v>
      </c>
      <c r="D1174" s="531">
        <v>6890</v>
      </c>
      <c r="E1174" s="523">
        <f>SUMIFS('Accounting data'!$G$2:$G$37002,'Accounting data'!$H$2:$H$37002,"9999*",'Accounting data'!$J$2:$J$37002,"31*",'Accounting data'!$K$2:$K$37002,"689*")</f>
        <v>0</v>
      </c>
    </row>
    <row r="1175" spans="1:5" x14ac:dyDescent="0.2">
      <c r="A1175" s="522" t="s">
        <v>990</v>
      </c>
      <c r="B1175" s="522" t="s">
        <v>992</v>
      </c>
      <c r="C1175" s="522">
        <v>3100</v>
      </c>
      <c r="D1175" s="531">
        <v>6890</v>
      </c>
      <c r="E1175" s="523">
        <f>SUMIFS('Accounting data'!$G$2:$G$37002,'Accounting data'!$I$2:$I$37002,"7*",'Accounting data'!$J$2:$J$37002,"31*",'Accounting data'!$K$2:$K$37002,"689*")+SUMIFS('Accounting data'!$G$2:$G$37002,'Accounting data'!$I$2:$I$37002,"8*",'Accounting data'!$J$2:$J$37002,"31*",'Accounting data'!$K$2:$K$37002,"689*")+SUMIFS('Accounting data'!$G$2:$G$37002,'Accounting data'!$I$2:$I$37002,"9*",'Accounting data'!$J$2:$J$37002,"31*",'Accounting data'!$K$2:$K$37002,"689*")</f>
        <v>0</v>
      </c>
    </row>
    <row r="1176" spans="1:5" x14ac:dyDescent="0.2">
      <c r="A1176" s="524" t="s">
        <v>991</v>
      </c>
      <c r="B1176" s="522" t="s">
        <v>992</v>
      </c>
      <c r="C1176" s="522">
        <v>3100</v>
      </c>
      <c r="D1176" s="531">
        <v>6890</v>
      </c>
      <c r="E1176" s="523">
        <f>SUMIFS('Accounting data'!$G$2:$G$37002,'Accounting data'!$H$2:$H$37002,"9999*",'Accounting data'!$I$2:$I$37002,"7*",'Accounting data'!$J$2:$J$37002,"31*",'Accounting data'!$K$2:$K$37002,"689*")+SUMIFS('Accounting data'!$G$2:$G$37002,'Accounting data'!$H$2:$H$37002,"9999*",'Accounting data'!$I$2:$I$37002,"8*",'Accounting data'!$J$2:$J$37002,"31*",'Accounting data'!$K$2:$K$37002,"689*")+SUMIFS('Accounting data'!$G$2:$G$37002,'Accounting data'!$H$2:$H$37002,"9999*",'Accounting data'!$I$2:$I$37002,"9*",'Accounting data'!$J$2:$J$37002,"31*",'Accounting data'!$K$2:$K$37002,"689*")</f>
        <v>0</v>
      </c>
    </row>
    <row r="1177" spans="1:5" x14ac:dyDescent="0.2">
      <c r="A1177" s="522"/>
      <c r="B1177" s="522"/>
      <c r="C1177" s="522"/>
      <c r="D1177" s="531"/>
      <c r="E1177" s="523"/>
    </row>
    <row r="1178" spans="1:5" x14ac:dyDescent="0.2">
      <c r="A1178" s="522"/>
      <c r="B1178" s="522"/>
      <c r="C1178" s="522"/>
      <c r="D1178" s="531"/>
      <c r="E1178" s="523"/>
    </row>
    <row r="1179" spans="1:5" x14ac:dyDescent="0.2">
      <c r="A1179" s="525" t="s">
        <v>1081</v>
      </c>
      <c r="B1179" s="525"/>
      <c r="C1179" s="525"/>
      <c r="D1179" s="525"/>
      <c r="E1179" s="527">
        <f>(E1173-E1174-E1175)+(E1176+E1177+E1178)</f>
        <v>0</v>
      </c>
    </row>
    <row r="1186" spans="1:5" x14ac:dyDescent="0.2">
      <c r="A1186" s="525" t="s">
        <v>1082</v>
      </c>
      <c r="B1186" s="525"/>
      <c r="C1186" s="525"/>
      <c r="D1186" s="525"/>
      <c r="E1186" s="527">
        <f>(E1180-E1181-E1182)+(E1183+E1184+E1185)</f>
        <v>0</v>
      </c>
    </row>
    <row r="1187" spans="1:5" x14ac:dyDescent="0.2">
      <c r="A1187" s="522" t="s">
        <v>990</v>
      </c>
      <c r="B1187" s="522" t="s">
        <v>990</v>
      </c>
      <c r="C1187" s="522">
        <v>3400</v>
      </c>
      <c r="D1187" s="531">
        <v>6890</v>
      </c>
      <c r="E1187" s="523">
        <f>SUMIFS('Accounting data'!$G$2:$G$37002,'Accounting data'!$J$2:$J$37002,"34*",'Accounting data'!$K$2:$K$37002,"689*")</f>
        <v>0</v>
      </c>
    </row>
    <row r="1188" spans="1:5" x14ac:dyDescent="0.2">
      <c r="A1188" s="522" t="s">
        <v>991</v>
      </c>
      <c r="B1188" s="522" t="s">
        <v>990</v>
      </c>
      <c r="C1188" s="522">
        <v>3400</v>
      </c>
      <c r="D1188" s="531">
        <v>6890</v>
      </c>
      <c r="E1188" s="523">
        <f>SUMIFS('Accounting data'!$G$2:$G$37002,'Accounting data'!$H$2:$H$37002,"9999*",'Accounting data'!$J$2:$J$37002,"34*",'Accounting data'!$K$2:$K$37002,"689*")</f>
        <v>0</v>
      </c>
    </row>
    <row r="1189" spans="1:5" x14ac:dyDescent="0.2">
      <c r="A1189" s="522" t="s">
        <v>990</v>
      </c>
      <c r="B1189" s="522" t="s">
        <v>992</v>
      </c>
      <c r="C1189" s="522">
        <v>3400</v>
      </c>
      <c r="D1189" s="531">
        <v>6890</v>
      </c>
      <c r="E1189" s="523">
        <f>SUMIFS('Accounting data'!$G$2:$G$37002,'Accounting data'!$I$2:$I$37002,"7*",'Accounting data'!$J$2:$J$37002,"34*",'Accounting data'!$K$2:$K$37002,"689*")+SUMIFS('Accounting data'!$G$2:$G$37002,'Accounting data'!$I$2:$I$37002,"8*",'Accounting data'!$J$2:$J$37002,"34*",'Accounting data'!$K$2:$K$37002,"689*")+SUMIFS('Accounting data'!$G$2:$G$37002,'Accounting data'!$I$2:$I$37002,"9*",'Accounting data'!$J$2:$J$37002,"34*",'Accounting data'!$K$2:$K$37002,"689*")</f>
        <v>0</v>
      </c>
    </row>
    <row r="1190" spans="1:5" x14ac:dyDescent="0.2">
      <c r="A1190" s="524" t="s">
        <v>991</v>
      </c>
      <c r="B1190" s="522" t="s">
        <v>992</v>
      </c>
      <c r="C1190" s="522">
        <v>3400</v>
      </c>
      <c r="D1190" s="531">
        <v>6890</v>
      </c>
      <c r="E1190" s="523">
        <f>SUMIFS('Accounting data'!$G$2:$G$37002,'Accounting data'!$H$2:$H$37002,"9999*",'Accounting data'!$I$2:$I$37002,"7*",'Accounting data'!$J$2:$J$37002,"34*",'Accounting data'!$K$2:$K$37002,"689*")+SUMIFS('Accounting data'!$G$2:$G$37002,'Accounting data'!$H$2:$H$37002,"9999*",'Accounting data'!$I$2:$I$37002,"8*",'Accounting data'!$J$2:$J$37002,"34*",'Accounting data'!$K$2:$K$37002,"689*")+SUMIFS('Accounting data'!$G$2:$G$37002,'Accounting data'!$H$2:$H$37002,"9999*",'Accounting data'!$I$2:$I$37002,"9*",'Accounting data'!$J$2:$J$37002,"34*",'Accounting data'!$K$2:$K$37002,"689*")</f>
        <v>0</v>
      </c>
    </row>
    <row r="1191" spans="1:5" x14ac:dyDescent="0.2">
      <c r="A1191" s="522"/>
      <c r="B1191" s="522"/>
      <c r="C1191" s="522"/>
      <c r="D1191" s="531"/>
      <c r="E1191" s="523"/>
    </row>
    <row r="1192" spans="1:5" x14ac:dyDescent="0.2">
      <c r="A1192" s="522"/>
      <c r="B1192" s="522"/>
      <c r="C1192" s="522"/>
      <c r="D1192" s="531"/>
      <c r="E1192" s="523"/>
    </row>
    <row r="1193" spans="1:5" x14ac:dyDescent="0.2">
      <c r="A1193" s="525" t="s">
        <v>1083</v>
      </c>
      <c r="B1193" s="525"/>
      <c r="C1193" s="525"/>
      <c r="D1193" s="525"/>
      <c r="E1193" s="527">
        <f>(E1187-E1188-E1189)+(E1190+E1191+E1192)</f>
        <v>0</v>
      </c>
    </row>
    <row r="1194" spans="1:5" x14ac:dyDescent="0.2">
      <c r="A1194" s="522" t="s">
        <v>990</v>
      </c>
      <c r="B1194" s="522" t="s">
        <v>990</v>
      </c>
      <c r="C1194" s="522">
        <v>4000</v>
      </c>
      <c r="D1194" s="531">
        <v>6890</v>
      </c>
      <c r="E1194" s="523">
        <f>SUMIFS('Accounting data'!$G$2:$G$37002,'Accounting data'!$J$2:$J$37002,"4*",'Accounting data'!$K$2:$K$37002,"689*")</f>
        <v>0</v>
      </c>
    </row>
    <row r="1195" spans="1:5" x14ac:dyDescent="0.2">
      <c r="A1195" s="522" t="s">
        <v>991</v>
      </c>
      <c r="B1195" s="522" t="s">
        <v>990</v>
      </c>
      <c r="C1195" s="522">
        <v>4000</v>
      </c>
      <c r="D1195" s="531">
        <v>6890</v>
      </c>
      <c r="E1195" s="523">
        <f>SUMIFS('Accounting data'!$G$2:$G$37002,'Accounting data'!$H$2:$H$37002,"9999*",'Accounting data'!$J$2:$J$37002,"4*",'Accounting data'!$K$2:$K$37002,"689*")</f>
        <v>0</v>
      </c>
    </row>
    <row r="1196" spans="1:5" x14ac:dyDescent="0.2">
      <c r="A1196" s="522" t="s">
        <v>990</v>
      </c>
      <c r="B1196" s="522" t="s">
        <v>992</v>
      </c>
      <c r="C1196" s="522">
        <v>4000</v>
      </c>
      <c r="D1196" s="531">
        <v>6890</v>
      </c>
      <c r="E1196" s="523">
        <f>SUMIFS('Accounting data'!$G$2:$G$37002,'Accounting data'!$I$2:$I$37002,"7*",'Accounting data'!$J$2:$J$37002,"4*",'Accounting data'!$K$2:$K$37002,"689*")+SUMIFS('Accounting data'!$G$2:$G$37002,'Accounting data'!$I$2:$I$37002,"8*",'Accounting data'!$J$2:$J$37002,"4*",'Accounting data'!$K$2:$K$37002,"689*")+SUMIFS('Accounting data'!$G$2:$G$37002,'Accounting data'!$I$2:$I$37002,"9*",'Accounting data'!$J$2:$J$37002,"4*",'Accounting data'!$K$2:$K$37002,"689*")</f>
        <v>0</v>
      </c>
    </row>
    <row r="1197" spans="1:5" x14ac:dyDescent="0.2">
      <c r="A1197" s="524" t="s">
        <v>991</v>
      </c>
      <c r="B1197" s="522" t="s">
        <v>992</v>
      </c>
      <c r="C1197" s="522">
        <v>4000</v>
      </c>
      <c r="D1197" s="531">
        <v>6890</v>
      </c>
      <c r="E1197" s="523">
        <f>SUMIFS('Accounting data'!$G$2:$G$37002,'Accounting data'!$H$2:$H$37002,"9999*",'Accounting data'!$I$2:$I$37002,"7*",'Accounting data'!$J$2:$J$37002,"4*",'Accounting data'!$K$2:$K$37002,"689*")+SUMIFS('Accounting data'!$G$2:$G$37002,'Accounting data'!$H$2:$H$37002,"9999*",'Accounting data'!$I$2:$I$37002,"8*",'Accounting data'!$J$2:$J$37002,"4*",'Accounting data'!$K$2:$K$37002,"689*")+SUMIFS('Accounting data'!$G$2:$G$37002,'Accounting data'!$H$2:$H$37002,"9999*",'Accounting data'!$I$2:$I$37002,"9*",'Accounting data'!$J$2:$J$37002,"4*",'Accounting data'!$K$2:$K$37002,"689*")</f>
        <v>0</v>
      </c>
    </row>
    <row r="1198" spans="1:5" x14ac:dyDescent="0.2">
      <c r="A1198" s="522"/>
      <c r="B1198" s="522"/>
      <c r="C1198" s="522"/>
      <c r="D1198" s="531"/>
      <c r="E1198" s="523"/>
    </row>
    <row r="1199" spans="1:5" x14ac:dyDescent="0.2">
      <c r="A1199" s="522"/>
      <c r="B1199" s="522"/>
      <c r="C1199" s="522"/>
      <c r="D1199" s="531"/>
      <c r="E1199" s="523"/>
    </row>
    <row r="1200" spans="1:5" x14ac:dyDescent="0.2">
      <c r="A1200" s="525" t="s">
        <v>1084</v>
      </c>
      <c r="B1200" s="525"/>
      <c r="C1200" s="525"/>
      <c r="D1200" s="525"/>
      <c r="E1200" s="527">
        <f>(E1194-E1195-E1196)+(E1197+E1198+E1199)</f>
        <v>0</v>
      </c>
    </row>
    <row r="1201" spans="1:5" x14ac:dyDescent="0.2">
      <c r="A1201" s="528" t="s">
        <v>1085</v>
      </c>
      <c r="B1201" s="528"/>
      <c r="C1201" s="528"/>
      <c r="D1201" s="528"/>
      <c r="E1201" s="532">
        <f>E1116+E1123+E1130+E1137+E1144+E1151+E1158+E1165+E1172+E1179+E1186+E1193</f>
        <v>326942</v>
      </c>
    </row>
    <row r="1202" spans="1:5" x14ac:dyDescent="0.2">
      <c r="A1202" s="522" t="s">
        <v>1006</v>
      </c>
      <c r="B1202" s="522" t="s">
        <v>990</v>
      </c>
      <c r="C1202" s="522">
        <v>1000</v>
      </c>
      <c r="D1202" s="522">
        <v>6890</v>
      </c>
      <c r="E1202" s="523">
        <f>SUMIFS('Accounting data'!$G$2:$G$37002,'Accounting data'!$H$2:$H$37002,"11*",'Accounting data'!$J$2:$J$37002,"1*",'Accounting data'!$K$2:$K$37002,"689*")+SUMIFS('Accounting data'!$G$2:$G$37002,'Accounting data'!$H$2:$H$37002,"12*",'Accounting data'!$J$2:$J$37002,"1*",'Accounting data'!$K$2:$K$37002,"689*")+SUMIFS('Accounting data'!$G$2:$G$37002,'Accounting data'!$H$2:$H$37002,"13*",'Accounting data'!$J$2:$J$37002,"1*",'Accounting data'!$K$2:$K$37002,"689*")</f>
        <v>0</v>
      </c>
    </row>
    <row r="1203" spans="1:5" x14ac:dyDescent="0.2">
      <c r="A1203" s="522" t="s">
        <v>1006</v>
      </c>
      <c r="B1203" s="522" t="s">
        <v>990</v>
      </c>
      <c r="C1203" s="522">
        <v>2000</v>
      </c>
      <c r="D1203" s="522">
        <v>6890</v>
      </c>
      <c r="E1203" s="523">
        <f>SUMIFS('Accounting data'!$G$2:$G$37002,'Accounting data'!$H$2:$H$37002,"11*",'Accounting data'!$J$2:$J$37002,"2*",'Accounting data'!$K$2:$K$37002,"689*")+SUMIFS('Accounting data'!$G$2:$G$37002,'Accounting data'!$H$2:$H$37002,"12*",'Accounting data'!$J$2:$J$37002,"2*",'Accounting data'!$K$2:$K$37002,"689*")+SUMIFS('Accounting data'!$G$2:$G$37002,'Accounting data'!$H$2:$H$37002,"13*",'Accounting data'!$J$2:$J$37002,"2*",'Accounting data'!$K$2:$K$37002,"689*")</f>
        <v>0</v>
      </c>
    </row>
    <row r="1204" spans="1:5" x14ac:dyDescent="0.2">
      <c r="A1204" s="522" t="s">
        <v>1006</v>
      </c>
      <c r="B1204" s="522" t="s">
        <v>990</v>
      </c>
      <c r="C1204" s="522">
        <v>3000</v>
      </c>
      <c r="D1204" s="522">
        <v>6890</v>
      </c>
      <c r="E1204" s="523">
        <f>SUMIFS('Accounting data'!$G$2:$G$37002,'Accounting data'!$H$2:$H$37002,"11*",'Accounting data'!$J$2:$J$37002,"3*",'Accounting data'!$K$2:$K$37002,"689*")+SUMIFS('Accounting data'!$G$2:$G$37002,'Accounting data'!$H$2:$H$37002,"12*",'Accounting data'!$J$2:$J$37002,"3*",'Accounting data'!$K$2:$K$37002,"689*")+SUMIFS('Accounting data'!$G$2:$G$37002,'Accounting data'!$H$2:$H$37002,"13*",'Accounting data'!$J$2:$J$37002,"3*",'Accounting data'!$K$2:$K$37002,"689*")</f>
        <v>0</v>
      </c>
    </row>
    <row r="1205" spans="1:5" x14ac:dyDescent="0.2">
      <c r="A1205" s="522" t="s">
        <v>1006</v>
      </c>
      <c r="B1205" s="524">
        <v>700</v>
      </c>
      <c r="C1205" s="522">
        <v>1000</v>
      </c>
      <c r="D1205" s="522">
        <v>6890</v>
      </c>
      <c r="E1205" s="523">
        <f>SUMIFS('Accounting data'!$G$2:$G$37002,'Accounting data'!$H$2:$H$37002,"11*",'Accounting data'!$I$2:$I$37002,"7*",'Accounting data'!$J$2:$J$37002,"1*",'Accounting data'!$K$2:$K$37002,"689*")+SUMIFS('Accounting data'!$G$2:$G$37002,'Accounting data'!$H$2:$H$37002,"12*",'Accounting data'!$I$2:$I$37002,"7*",'Accounting data'!$J$2:$J$37002,"1*",'Accounting data'!$K$2:$K$37002,"689*")+SUMIFS('Accounting data'!$G$2:$G$37002,'Accounting data'!$H$2:$H$37002,"13*",'Accounting data'!$I$2:$I$37002,"7*",'Accounting data'!$J$2:$J$37002,"1*",'Accounting data'!$K$2:$K$37002,"689*")</f>
        <v>0</v>
      </c>
    </row>
    <row r="1206" spans="1:5" x14ac:dyDescent="0.2">
      <c r="A1206" s="522" t="s">
        <v>1006</v>
      </c>
      <c r="B1206" s="524">
        <v>800</v>
      </c>
      <c r="C1206" s="522">
        <v>1000</v>
      </c>
      <c r="D1206" s="522">
        <v>6890</v>
      </c>
      <c r="E1206" s="523">
        <f>SUMIFS('Accounting data'!$G$2:$G$37002,'Accounting data'!$H$2:$H$37002,"11*",'Accounting data'!$I$2:$I$37002,"8*",'Accounting data'!$J$2:$J$37002,"1*",'Accounting data'!$K$2:$K$37002,"689*")+SUMIFS('Accounting data'!$G$2:$G$37002,'Accounting data'!$H$2:$H$37002,"12*",'Accounting data'!$I$2:$I$37002,"8*",'Accounting data'!$J$2:$J$37002,"1*",'Accounting data'!$K$2:$K$37002,"689*")+SUMIFS('Accounting data'!$G$2:$G$37002,'Accounting data'!$H$2:$H$37002,"13*",'Accounting data'!$I$2:$I$37002,"8*",'Accounting data'!$J$2:$J$37002,"1*",'Accounting data'!$K$2:$K$37002,"689*")</f>
        <v>0</v>
      </c>
    </row>
    <row r="1207" spans="1:5" x14ac:dyDescent="0.2">
      <c r="A1207" s="522" t="s">
        <v>1006</v>
      </c>
      <c r="B1207" s="524">
        <v>900</v>
      </c>
      <c r="C1207" s="522">
        <v>1000</v>
      </c>
      <c r="D1207" s="522">
        <v>6890</v>
      </c>
      <c r="E1207" s="523">
        <f>SUMIFS('Accounting data'!$G$2:$G$37002,'Accounting data'!$H$2:$H$37002,"11*",'Accounting data'!$I$2:$I$37002,"9*",'Accounting data'!$J$2:$J$37002,"1*",'Accounting data'!$K$2:$K$37002,"689*")+SUMIFS('Accounting data'!$G$2:$G$37002,'Accounting data'!$H$2:$H$37002,"12*",'Accounting data'!$I$2:$I$37002,"9*",'Accounting data'!$J$2:$J$37002,"1*",'Accounting data'!$K$2:$K$37002,"689*")+SUMIFS('Accounting data'!$G$2:$G$37002,'Accounting data'!$H$2:$H$37002,"13*",'Accounting data'!$I$2:$I$37002,"9*",'Accounting data'!$J$2:$J$37002,"1*",'Accounting data'!$K$2:$K$37002,"689*")</f>
        <v>0</v>
      </c>
    </row>
    <row r="1208" spans="1:5" x14ac:dyDescent="0.2">
      <c r="A1208" s="522" t="s">
        <v>1006</v>
      </c>
      <c r="B1208" s="524">
        <v>700</v>
      </c>
      <c r="C1208" s="522">
        <v>2000</v>
      </c>
      <c r="D1208" s="522">
        <v>6890</v>
      </c>
      <c r="E1208" s="523">
        <f>SUMIFS('Accounting data'!$G$2:$G$37002,'Accounting data'!$H$2:$H$37002,"11*",'Accounting data'!$I$2:$I$37002,"7*",'Accounting data'!$J$2:$J$37002,"2*",'Accounting data'!$K$2:$K$37002,"689*")+SUMIFS('Accounting data'!$G$2:$G$37002,'Accounting data'!$H$2:$H$37002,"12*",'Accounting data'!$I$2:$I$37002,"7*",'Accounting data'!$J$2:$J$37002,"2*",'Accounting data'!$K$2:$K$37002,"689*")+SUMIFS('Accounting data'!$G$2:$G$37002,'Accounting data'!$H$2:$H$37002,"13*",'Accounting data'!$I$2:$I$37002,"7*",'Accounting data'!$J$2:$J$37002,"2*",'Accounting data'!$K$2:$K$37002,"689*")</f>
        <v>0</v>
      </c>
    </row>
    <row r="1209" spans="1:5" x14ac:dyDescent="0.2">
      <c r="A1209" s="522" t="s">
        <v>1006</v>
      </c>
      <c r="B1209" s="524">
        <v>800</v>
      </c>
      <c r="C1209" s="522">
        <v>2000</v>
      </c>
      <c r="D1209" s="522">
        <v>6890</v>
      </c>
      <c r="E1209" s="523">
        <f>SUMIFS('Accounting data'!$G$2:$G$37002,'Accounting data'!$H$2:$H$37002,"11*",'Accounting data'!$I$2:$I$37002,"8*",'Accounting data'!$J$2:$J$37002,"2*",'Accounting data'!$K$2:$K$37002,"689*")+SUMIFS('Accounting data'!$G$2:$G$37002,'Accounting data'!$H$2:$H$37002,"12*",'Accounting data'!$I$2:$I$37002,"8*",'Accounting data'!$J$2:$J$37002,"2*",'Accounting data'!$K$2:$K$37002,"689*")+SUMIFS('Accounting data'!$G$2:$G$37002,'Accounting data'!$H$2:$H$37002,"13*",'Accounting data'!$I$2:$I$37002,"8*",'Accounting data'!$J$2:$J$37002,"2*",'Accounting data'!$K$2:$K$37002,"689*")</f>
        <v>0</v>
      </c>
    </row>
    <row r="1210" spans="1:5" x14ac:dyDescent="0.2">
      <c r="A1210" s="522" t="s">
        <v>1006</v>
      </c>
      <c r="B1210" s="524">
        <v>900</v>
      </c>
      <c r="C1210" s="522">
        <v>2000</v>
      </c>
      <c r="D1210" s="522">
        <v>6890</v>
      </c>
      <c r="E1210" s="523">
        <f>SUMIFS('Accounting data'!$G$2:$G$37002,'Accounting data'!$H$2:$H$37002,"11*",'Accounting data'!$I$2:$I$37002,"9*",'Accounting data'!$J$2:$J$37002,"2*",'Accounting data'!$K$2:$K$37002,"689*")+SUMIFS('Accounting data'!$G$2:$G$37002,'Accounting data'!$H$2:$H$37002,"12*",'Accounting data'!$I$2:$I$37002,"9*",'Accounting data'!$J$2:$J$37002,"2*",'Accounting data'!$K$2:$K$37002,"689*")+SUMIFS('Accounting data'!$G$2:$G$37002,'Accounting data'!$H$2:$H$37002,"13*",'Accounting data'!$I$2:$I$37002,"9*",'Accounting data'!$J$2:$J$37002,"2*",'Accounting data'!$K$2:$K$37002,"689*")</f>
        <v>0</v>
      </c>
    </row>
    <row r="1211" spans="1:5" x14ac:dyDescent="0.2">
      <c r="A1211" s="522" t="s">
        <v>1006</v>
      </c>
      <c r="B1211" s="524">
        <v>700</v>
      </c>
      <c r="C1211" s="522">
        <v>3000</v>
      </c>
      <c r="D1211" s="522">
        <v>6890</v>
      </c>
      <c r="E1211" s="523">
        <f>SUMIFS('Accounting data'!$G$2:$G$37002,'Accounting data'!$H$2:$H$37002,"11*",'Accounting data'!$I$2:$I$37002,"7*",'Accounting data'!$J$2:$J$37002,"3*",'Accounting data'!$K$2:$K$37002,"689*")+SUMIFS('Accounting data'!$G$2:$G$37002,'Accounting data'!$H$2:$H$37002,"12*",'Accounting data'!$I$2:$I$37002,"7*",'Accounting data'!$J$2:$J$37002,"3*",'Accounting data'!$K$2:$K$37002,"689*")+SUMIFS('Accounting data'!$G$2:$G$37002,'Accounting data'!$H$2:$H$37002,"13*",'Accounting data'!$I$2:$I$37002,"7*",'Accounting data'!$J$2:$J$37002,"3*",'Accounting data'!$K$2:$K$37002,"689*")</f>
        <v>0</v>
      </c>
    </row>
    <row r="1212" spans="1:5" x14ac:dyDescent="0.2">
      <c r="A1212" s="522" t="s">
        <v>1006</v>
      </c>
      <c r="B1212" s="524">
        <v>800</v>
      </c>
      <c r="C1212" s="522">
        <v>3000</v>
      </c>
      <c r="D1212" s="522">
        <v>6890</v>
      </c>
      <c r="E1212" s="523">
        <f>SUMIFS('Accounting data'!$G$2:$G$37002,'Accounting data'!$H$2:$H$37002,"11*",'Accounting data'!$I$2:$I$37002,"8*",'Accounting data'!$J$2:$J$37002,"3*",'Accounting data'!$K$2:$K$37002,"689*")+SUMIFS('Accounting data'!$G$2:$G$37002,'Accounting data'!$H$2:$H$37002,"12*",'Accounting data'!$I$2:$I$37002,"8*",'Accounting data'!$J$2:$J$37002,"3*",'Accounting data'!$K$2:$K$37002,"689*")+SUMIFS('Accounting data'!$G$2:$G$37002,'Accounting data'!$H$2:$H$37002,"13*",'Accounting data'!$I$2:$I$37002,"8*",'Accounting data'!$J$2:$J$37002,"3*",'Accounting data'!$K$2:$K$37002,"689*")</f>
        <v>0</v>
      </c>
    </row>
    <row r="1213" spans="1:5" x14ac:dyDescent="0.2">
      <c r="A1213" s="522" t="s">
        <v>1006</v>
      </c>
      <c r="B1213" s="524">
        <v>900</v>
      </c>
      <c r="C1213" s="522">
        <v>3000</v>
      </c>
      <c r="D1213" s="522">
        <v>6890</v>
      </c>
      <c r="E1213" s="523">
        <f>SUMIFS('Accounting data'!$G$2:$G$37002,'Accounting data'!$H$2:$H$37002,"11*",'Accounting data'!$I$2:$I$37002,"9*",'Accounting data'!$J$2:$J$37002,"3*",'Accounting data'!$K$2:$K$37002,"689*")+SUMIFS('Accounting data'!$G$2:$G$37002,'Accounting data'!$H$2:$H$37002,"12*",'Accounting data'!$I$2:$I$37002,"9*",'Accounting data'!$J$2:$J$37002,"3*",'Accounting data'!$K$2:$K$37002,"689*")+SUMIFS('Accounting data'!$G$2:$G$37002,'Accounting data'!$H$2:$H$37002,"13*",'Accounting data'!$I$2:$I$37002,"9*",'Accounting data'!$J$2:$J$37002,"3*",'Accounting data'!$K$2:$K$37002,"689*")</f>
        <v>0</v>
      </c>
    </row>
    <row r="1214" spans="1:5" x14ac:dyDescent="0.2">
      <c r="A1214" s="525" t="s">
        <v>1086</v>
      </c>
      <c r="B1214" s="525"/>
      <c r="C1214" s="525"/>
      <c r="D1214" s="525"/>
      <c r="E1214" s="527">
        <f>(E1202+E1203+E1204)-(E1205+E1206+E1207+E1208+E1209+E1210+E1211+E1212+E1213)</f>
        <v>0</v>
      </c>
    </row>
    <row r="1215" spans="1:5" x14ac:dyDescent="0.2">
      <c r="A1215" s="522" t="s">
        <v>990</v>
      </c>
      <c r="B1215" s="522" t="s">
        <v>992</v>
      </c>
      <c r="C1215" s="522">
        <v>1000</v>
      </c>
      <c r="D1215" s="522">
        <v>6000</v>
      </c>
      <c r="E1215" s="523">
        <f>SUMIFS('Accounting data'!$G$2:$G$37002,'Accounting data'!$I$2:$I$37002,"7*",'Accounting data'!$J$2:$J$37002,"1*",'Accounting data'!$K$2:$K$37002,"6*")+SUMIFS('Accounting data'!$G$2:$G$37002,'Accounting data'!$I$2:$I$37002,"8*",'Accounting data'!$J$2:$J$37002,"1*",'Accounting data'!$K$2:$K$37002,"6*")+SUMIFS('Accounting data'!$G$2:$G$37002,'Accounting data'!$I$2:$I$37002,"9*",'Accounting data'!$J$2:$J$37002,"1*",'Accounting data'!$K$2:$K$37002,"6*")</f>
        <v>0</v>
      </c>
    </row>
    <row r="1216" spans="1:5" x14ac:dyDescent="0.2">
      <c r="A1216" s="522" t="s">
        <v>990</v>
      </c>
      <c r="B1216" s="522" t="s">
        <v>992</v>
      </c>
      <c r="C1216" s="522">
        <v>1000</v>
      </c>
      <c r="D1216" s="522">
        <v>6900</v>
      </c>
      <c r="E1216" s="523">
        <f>SUMIFS('Accounting data'!$G$2:$G$37002,'Accounting data'!$I$2:$I$37002,"7*",'Accounting data'!$J$2:$J$37002,"1*",'Accounting data'!$K$2:$K$37002,"69*")+SUMIFS('Accounting data'!$G$2:$G$37002,'Accounting data'!$I$2:$I$37002,"8*",'Accounting data'!$J$2:$J$37002,"1*",'Accounting data'!$K$2:$K$37002,"69*")+SUMIFS('Accounting data'!$G$2:$G$37002,'Accounting data'!$I$2:$I$37002,"9*",'Accounting data'!$J$2:$J$37002,"1*",'Accounting data'!$K$2:$K$37002,"69*")</f>
        <v>0</v>
      </c>
    </row>
    <row r="1217" spans="1:5" x14ac:dyDescent="0.2">
      <c r="A1217" s="522" t="s">
        <v>990</v>
      </c>
      <c r="B1217" s="522" t="s">
        <v>992</v>
      </c>
      <c r="C1217" s="522">
        <v>1000</v>
      </c>
      <c r="D1217" s="531">
        <v>6700</v>
      </c>
      <c r="E1217" s="523">
        <f>SUMIFS('Accounting data'!$G$2:$G$37002,'Accounting data'!$I$2:$I$37002,"7*",'Accounting data'!$J$2:$J$37002,"1*",'Accounting data'!$K$2:$K$37002,"67*")+SUMIFS('Accounting data'!$G$2:$G$37002,'Accounting data'!$I$2:$I$37002,"8*",'Accounting data'!$J$2:$J$37002,"1*",'Accounting data'!$K$2:$K$37002,"67*")+SUMIFS('Accounting data'!$G$2:$G$37002,'Accounting data'!$I$2:$I$37002,"9*",'Accounting data'!$J$2:$J$37002,"1*",'Accounting data'!$K$2:$K$37002,"67*")</f>
        <v>0</v>
      </c>
    </row>
    <row r="1218" spans="1:5" x14ac:dyDescent="0.2">
      <c r="A1218" s="524" t="s">
        <v>991</v>
      </c>
      <c r="B1218" s="522" t="s">
        <v>992</v>
      </c>
      <c r="C1218" s="522">
        <v>1000</v>
      </c>
      <c r="D1218" s="522">
        <v>6000</v>
      </c>
      <c r="E1218" s="523">
        <f>SUMIFS('Accounting data'!$G$2:$G$37002,'Accounting data'!$H$2:$H$37002,"9999*",'Accounting data'!$I$2:$I$37002,"7*",'Accounting data'!$J$2:$J$37002,"1*",'Accounting data'!$K$2:$K$37002,"6*")+SUMIFS('Accounting data'!$G$2:$G$37002,'Accounting data'!$H$2:$H$37002,"9999*",'Accounting data'!$I$2:$I$37002,"8*",'Accounting data'!$J$2:$J$37002,"1*",'Accounting data'!$K$2:$K$37002,"6*")+SUMIFS('Accounting data'!$G$2:$G$37002,'Accounting data'!$H$2:$H$37002,"9999*",'Accounting data'!$I$2:$I$37002,"9*",'Accounting data'!$J$2:$J$37002,"1*",'Accounting data'!$K$2:$K$37002,"6*")</f>
        <v>0</v>
      </c>
    </row>
    <row r="1219" spans="1:5" x14ac:dyDescent="0.2">
      <c r="A1219" s="522"/>
      <c r="B1219" s="522"/>
      <c r="C1219" s="522"/>
      <c r="D1219" s="522"/>
      <c r="E1219" s="523"/>
    </row>
    <row r="1220" spans="1:5" x14ac:dyDescent="0.2">
      <c r="A1220" s="524" t="s">
        <v>991</v>
      </c>
      <c r="B1220" s="522" t="s">
        <v>992</v>
      </c>
      <c r="C1220" s="522">
        <v>1000</v>
      </c>
      <c r="D1220" s="522">
        <v>6900</v>
      </c>
      <c r="E1220" s="523">
        <f>SUMIFS('Accounting data'!$G$2:$G$37002,'Accounting data'!$H$2:$H$37002,"9999*",'Accounting data'!$I$2:$I$37002,"7*",'Accounting data'!$J$2:$J$37002,"1*",'Accounting data'!$K$2:$K$37002,"69*")+SUMIFS('Accounting data'!$G$2:$G$37002,'Accounting data'!$H$2:$H$37002,"9999*",'Accounting data'!$I$2:$I$37002,"8*",'Accounting data'!$J$2:$J$37002,"1*",'Accounting data'!$K$2:$K$37002,"69*")+SUMIFS('Accounting data'!$G$2:$G$37002,'Accounting data'!$H$2:$H$37002,"9999*",'Accounting data'!$I$2:$I$37002,"9*",'Accounting data'!$J$2:$J$37002,"1*",'Accounting data'!$K$2:$K$37002,"69*")</f>
        <v>0</v>
      </c>
    </row>
    <row r="1221" spans="1:5" x14ac:dyDescent="0.2">
      <c r="A1221" s="522"/>
      <c r="B1221" s="522"/>
      <c r="C1221" s="522"/>
      <c r="D1221" s="522"/>
      <c r="E1221" s="523"/>
    </row>
    <row r="1222" spans="1:5" x14ac:dyDescent="0.2">
      <c r="A1222" s="524" t="s">
        <v>991</v>
      </c>
      <c r="B1222" s="522" t="s">
        <v>992</v>
      </c>
      <c r="C1222" s="522">
        <v>1000</v>
      </c>
      <c r="D1222" s="531">
        <v>6700</v>
      </c>
      <c r="E1222" s="523">
        <f>SUMIFS('Accounting data'!$G$2:$G$37002,'Accounting data'!$H$2:$H$37002,"9999*",'Accounting data'!$I$2:$I$37002,"7*",'Accounting data'!$J$2:$J$37002,"1*",'Accounting data'!$K$2:$K$37002,"67*")+SUMIFS('Accounting data'!$G$2:$G$37002,'Accounting data'!$H$2:$H$37002,"9999*",'Accounting data'!$I$2:$I$37002,"8*",'Accounting data'!$J$2:$J$37002,"1*",'Accounting data'!$K$2:$K$37002,"67*")+SUMIFS('Accounting data'!$G$2:$G$37002,'Accounting data'!$H$2:$H$37002,"9999*",'Accounting data'!$I$2:$I$37002,"9*",'Accounting data'!$J$2:$J$37002,"1*",'Accounting data'!$K$2:$K$37002,"67*")</f>
        <v>0</v>
      </c>
    </row>
    <row r="1223" spans="1:5" x14ac:dyDescent="0.2">
      <c r="A1223" s="524"/>
      <c r="B1223" s="522"/>
      <c r="C1223" s="522"/>
      <c r="D1223" s="531"/>
      <c r="E1223" s="523"/>
    </row>
    <row r="1224" spans="1:5" x14ac:dyDescent="0.2">
      <c r="A1224" s="524"/>
      <c r="B1224" s="522"/>
      <c r="C1224" s="522"/>
      <c r="D1224" s="531"/>
      <c r="E1224" s="523"/>
    </row>
    <row r="1225" spans="1:5" x14ac:dyDescent="0.2">
      <c r="A1225" s="525" t="s">
        <v>1087</v>
      </c>
      <c r="B1225" s="525"/>
      <c r="C1225" s="525"/>
      <c r="D1225" s="525"/>
      <c r="E1225" s="527">
        <f>(E1215-E1216-E1217)-((E1218+E1219)-(E1220+E1221))-(E1222+E1223+E1224)</f>
        <v>0</v>
      </c>
    </row>
    <row r="1226" spans="1:5" x14ac:dyDescent="0.2">
      <c r="A1226" s="522" t="s">
        <v>990</v>
      </c>
      <c r="B1226" s="522" t="s">
        <v>992</v>
      </c>
      <c r="C1226" s="522">
        <v>2100</v>
      </c>
      <c r="D1226" s="522">
        <v>6000</v>
      </c>
      <c r="E1226" s="523">
        <f>SUMIFS('Accounting data'!$G$2:$G$37002,'Accounting data'!$I$2:$I$37002,"7*",'Accounting data'!$J$2:$J$37002,"21*",'Accounting data'!$K$2:$K$37002,"6*")+SUMIFS('Accounting data'!$G$2:$G$37002,'Accounting data'!$I$2:$I$37002,"8*",'Accounting data'!$J$2:$J$37002,"21*",'Accounting data'!$K$2:$K$37002,"6*")+SUMIFS('Accounting data'!$G$2:$G$37002,'Accounting data'!$I$2:$I$37002,"9*",'Accounting data'!$J$2:$J$37002,"21*",'Accounting data'!$K$2:$K$37002,"6*")</f>
        <v>0</v>
      </c>
    </row>
    <row r="1227" spans="1:5" x14ac:dyDescent="0.2">
      <c r="A1227" s="522" t="s">
        <v>990</v>
      </c>
      <c r="B1227" s="522" t="s">
        <v>992</v>
      </c>
      <c r="C1227" s="522">
        <v>2100</v>
      </c>
      <c r="D1227" s="522">
        <v>6900</v>
      </c>
      <c r="E1227" s="523">
        <f>SUMIFS('Accounting data'!$G$2:$G$37002,'Accounting data'!$I$2:$I$37002,"7*",'Accounting data'!$J$2:$J$37002,"21*",'Accounting data'!$K$2:$K$37002,"69*")+SUMIFS('Accounting data'!$G$2:$G$37002,'Accounting data'!$I$2:$I$37002,"8*",'Accounting data'!$J$2:$J$37002,"21*",'Accounting data'!$K$2:$K$37002,"69*")+SUMIFS('Accounting data'!$G$2:$G$37002,'Accounting data'!$I$2:$I$37002,"9*",'Accounting data'!$J$2:$J$37002,"21*",'Accounting data'!$K$2:$K$37002,"69*")</f>
        <v>0</v>
      </c>
    </row>
    <row r="1228" spans="1:5" x14ac:dyDescent="0.2">
      <c r="A1228" s="522" t="s">
        <v>990</v>
      </c>
      <c r="B1228" s="522" t="s">
        <v>992</v>
      </c>
      <c r="C1228" s="522">
        <v>2100</v>
      </c>
      <c r="D1228" s="531">
        <v>6700</v>
      </c>
      <c r="E1228" s="523">
        <f>SUMIFS('Accounting data'!$G$2:$G$37002,'Accounting data'!$I$2:$I$37002,"7*",'Accounting data'!$J$2:$J$37002,"21*",'Accounting data'!$K$2:$K$37002,"67*")+SUMIFS('Accounting data'!$G$2:$G$37002,'Accounting data'!$I$2:$I$37002,"8*",'Accounting data'!$J$2:$J$37002,"21*",'Accounting data'!$K$2:$K$37002,"67*")+SUMIFS('Accounting data'!$G$2:$G$37002,'Accounting data'!$I$2:$I$37002,"9*",'Accounting data'!$J$2:$J$37002,"21*",'Accounting data'!$K$2:$K$37002,"67*")</f>
        <v>0</v>
      </c>
    </row>
    <row r="1229" spans="1:5" x14ac:dyDescent="0.2">
      <c r="A1229" s="524" t="s">
        <v>991</v>
      </c>
      <c r="B1229" s="522" t="s">
        <v>992</v>
      </c>
      <c r="C1229" s="522">
        <v>2100</v>
      </c>
      <c r="D1229" s="522">
        <v>6000</v>
      </c>
      <c r="E1229" s="523">
        <f>SUMIFS('Accounting data'!$G$2:$G$37002,'Accounting data'!$H$2:$H$37002,"9999*",'Accounting data'!$I$2:$I$37002,"7*",'Accounting data'!$J$2:$J$37002,"21*",'Accounting data'!$K$2:$K$37002,"6*")+SUMIFS('Accounting data'!$G$2:$G$37002,'Accounting data'!$H$2:$H$37002,"9999*",'Accounting data'!$I$2:$I$37002,"8*",'Accounting data'!$J$2:$J$37002,"21*",'Accounting data'!$K$2:$K$37002,"6*")+SUMIFS('Accounting data'!$G$2:$G$37002,'Accounting data'!$H$2:$H$37002,"9999*",'Accounting data'!$I$2:$I$37002,"9*",'Accounting data'!$J$2:$J$37002,"21*",'Accounting data'!$K$2:$K$37002,"6*")</f>
        <v>0</v>
      </c>
    </row>
    <row r="1230" spans="1:5" x14ac:dyDescent="0.2">
      <c r="A1230" s="522"/>
      <c r="B1230" s="522"/>
      <c r="C1230" s="522"/>
      <c r="D1230" s="522"/>
      <c r="E1230" s="523"/>
    </row>
    <row r="1231" spans="1:5" x14ac:dyDescent="0.2">
      <c r="A1231" s="524" t="s">
        <v>991</v>
      </c>
      <c r="B1231" s="522" t="s">
        <v>992</v>
      </c>
      <c r="C1231" s="522">
        <v>2100</v>
      </c>
      <c r="D1231" s="522">
        <v>6900</v>
      </c>
      <c r="E1231" s="523">
        <f>SUMIFS('Accounting data'!$G$2:$G$37002,'Accounting data'!$H$2:$H$37002,"9999*",'Accounting data'!$I$2:$I$37002,"7*",'Accounting data'!$J$2:$J$37002,"21*",'Accounting data'!$K$2:$K$37002,"69*")+SUMIFS('Accounting data'!$G$2:$G$37002,'Accounting data'!$H$2:$H$37002,"9999*",'Accounting data'!$I$2:$I$37002,"8*",'Accounting data'!$J$2:$J$37002,"21*",'Accounting data'!$K$2:$K$37002,"69*")+SUMIFS('Accounting data'!$G$2:$G$37002,'Accounting data'!$H$2:$H$37002,"9999*",'Accounting data'!$I$2:$I$37002,"9*",'Accounting data'!$J$2:$J$37002,"21*",'Accounting data'!$K$2:$K$37002,"69*")</f>
        <v>0</v>
      </c>
    </row>
    <row r="1233" spans="1:5" x14ac:dyDescent="0.2">
      <c r="A1233" s="524" t="s">
        <v>991</v>
      </c>
      <c r="B1233" s="522" t="s">
        <v>992</v>
      </c>
      <c r="C1233" s="522">
        <v>2100</v>
      </c>
      <c r="D1233" s="531">
        <v>6700</v>
      </c>
      <c r="E1233" s="523">
        <f>SUMIFS('Accounting data'!$G$2:$G$37002,'Accounting data'!$H$2:$H$37002,"9999*",'Accounting data'!$I$2:$I$37002,"7*",'Accounting data'!$J$2:$J$37002,"21*",'Accounting data'!$K$2:$K$37002,"67*")+SUMIFS('Accounting data'!$G$2:$G$37002,'Accounting data'!$H$2:$H$37002,"9999*",'Accounting data'!$I$2:$I$37002,"8*",'Accounting data'!$J$2:$J$37002,"21*",'Accounting data'!$K$2:$K$37002,"67*")+SUMIFS('Accounting data'!$G$2:$G$37002,'Accounting data'!$H$2:$H$37002,"9999*",'Accounting data'!$I$2:$I$37002,"9*",'Accounting data'!$J$2:$J$37002,"21*",'Accounting data'!$K$2:$K$37002,"67*")</f>
        <v>0</v>
      </c>
    </row>
    <row r="1234" spans="1:5" x14ac:dyDescent="0.2">
      <c r="A1234" s="524"/>
      <c r="B1234" s="522"/>
      <c r="C1234" s="522"/>
      <c r="D1234" s="531"/>
      <c r="E1234" s="523"/>
    </row>
    <row r="1235" spans="1:5" x14ac:dyDescent="0.2">
      <c r="A1235" s="524"/>
      <c r="B1235" s="522"/>
      <c r="C1235" s="522"/>
      <c r="D1235" s="531"/>
      <c r="E1235" s="523"/>
    </row>
    <row r="1236" spans="1:5" x14ac:dyDescent="0.2">
      <c r="A1236" s="525" t="s">
        <v>1088</v>
      </c>
      <c r="B1236" s="525"/>
      <c r="C1236" s="525"/>
      <c r="D1236" s="525"/>
      <c r="E1236" s="527">
        <f>(E1226-E1227-E1228)-((E1229+E1230)-(E1231+E1232))-(E1233+E1234+E1235)</f>
        <v>0</v>
      </c>
    </row>
    <row r="1237" spans="1:5" x14ac:dyDescent="0.2">
      <c r="A1237" s="522" t="s">
        <v>990</v>
      </c>
      <c r="B1237" s="522" t="s">
        <v>992</v>
      </c>
      <c r="C1237" s="522">
        <v>2200</v>
      </c>
      <c r="D1237" s="522">
        <v>6000</v>
      </c>
      <c r="E1237" s="523">
        <f>SUMIFS('Accounting data'!$G$2:$G$37002,'Accounting data'!$I$2:$I$37002,"7*",'Accounting data'!$J$2:$J$37002,"22*",'Accounting data'!$K$2:$K$37002,"6*")+SUMIFS('Accounting data'!$G$2:$G$37002,'Accounting data'!$I$2:$I$37002,"8*",'Accounting data'!$J$2:$J$37002,"22*",'Accounting data'!$K$2:$K$37002,"6*")+SUMIFS('Accounting data'!$G$2:$G$37002,'Accounting data'!$I$2:$I$37002,"9*",'Accounting data'!$J$2:$J$37002,"22*",'Accounting data'!$K$2:$K$37002,"6*")</f>
        <v>0</v>
      </c>
    </row>
    <row r="1238" spans="1:5" x14ac:dyDescent="0.2">
      <c r="A1238" s="522" t="s">
        <v>990</v>
      </c>
      <c r="B1238" s="522" t="s">
        <v>992</v>
      </c>
      <c r="C1238" s="522">
        <v>2200</v>
      </c>
      <c r="D1238" s="522">
        <v>6900</v>
      </c>
      <c r="E1238" s="523">
        <f>SUMIFS('Accounting data'!$G$2:$G$37002,'Accounting data'!$I$2:$I$37002,"7*",'Accounting data'!$J$2:$J$37002,"22*",'Accounting data'!$K$2:$K$37002,"69*")+SUMIFS('Accounting data'!$G$2:$G$37002,'Accounting data'!$I$2:$I$37002,"8*",'Accounting data'!$J$2:$J$37002,"22*",'Accounting data'!$K$2:$K$37002,"69*")+SUMIFS('Accounting data'!$G$2:$G$37002,'Accounting data'!$I$2:$I$37002,"9*",'Accounting data'!$J$2:$J$37002,"22*",'Accounting data'!$K$2:$K$37002,"69*")</f>
        <v>0</v>
      </c>
    </row>
    <row r="1239" spans="1:5" x14ac:dyDescent="0.2">
      <c r="A1239" s="522" t="s">
        <v>990</v>
      </c>
      <c r="B1239" s="522" t="s">
        <v>992</v>
      </c>
      <c r="C1239" s="522">
        <v>2200</v>
      </c>
      <c r="D1239" s="531">
        <v>6700</v>
      </c>
      <c r="E1239" s="523">
        <f>SUMIFS('Accounting data'!$G$2:$G$37002,'Accounting data'!$I$2:$I$37002,"7*",'Accounting data'!$J$2:$J$37002,"22*",'Accounting data'!$K$2:$K$37002,"67*")+SUMIFS('Accounting data'!$G$2:$G$37002,'Accounting data'!$I$2:$I$37002,"8*",'Accounting data'!$J$2:$J$37002,"22*",'Accounting data'!$K$2:$K$37002,"67*")+SUMIFS('Accounting data'!$G$2:$G$37002,'Accounting data'!$I$2:$I$37002,"9*",'Accounting data'!$J$2:$J$37002,"22*",'Accounting data'!$K$2:$K$37002,"67*")</f>
        <v>0</v>
      </c>
    </row>
    <row r="1240" spans="1:5" x14ac:dyDescent="0.2">
      <c r="A1240" s="524" t="s">
        <v>991</v>
      </c>
      <c r="B1240" s="522" t="s">
        <v>992</v>
      </c>
      <c r="C1240" s="522">
        <v>2200</v>
      </c>
      <c r="D1240" s="522">
        <v>6000</v>
      </c>
      <c r="E1240" s="523">
        <f>SUMIFS('Accounting data'!$G$2:$G$37002,'Accounting data'!$H$2:$H$37002,"9999*",'Accounting data'!$I$2:$I$37002,"7*",'Accounting data'!$J$2:$J$37002,"22*",'Accounting data'!$K$2:$K$37002,"6*")+SUMIFS('Accounting data'!$G$2:$G$37002,'Accounting data'!$H$2:$H$37002,"9999*",'Accounting data'!$I$2:$I$37002,"8*",'Accounting data'!$J$2:$J$37002,"22*",'Accounting data'!$K$2:$K$37002,"6*")+SUMIFS('Accounting data'!$G$2:$G$37002,'Accounting data'!$H$2:$H$37002,"9999*",'Accounting data'!$I$2:$I$37002,"9*",'Accounting data'!$J$2:$J$37002,"22*",'Accounting data'!$K$2:$K$37002,"6*")</f>
        <v>0</v>
      </c>
    </row>
    <row r="1241" spans="1:5" x14ac:dyDescent="0.2">
      <c r="A1241" s="522"/>
      <c r="B1241" s="522"/>
      <c r="C1241" s="522"/>
      <c r="D1241" s="522"/>
      <c r="E1241" s="523"/>
    </row>
    <row r="1242" spans="1:5" x14ac:dyDescent="0.2">
      <c r="A1242" s="524" t="s">
        <v>991</v>
      </c>
      <c r="B1242" s="522" t="s">
        <v>992</v>
      </c>
      <c r="C1242" s="522">
        <v>2200</v>
      </c>
      <c r="D1242" s="522">
        <v>6900</v>
      </c>
      <c r="E1242" s="523">
        <f>SUMIFS('Accounting data'!$G$2:$G$37002,'Accounting data'!$H$2:$H$37002,"9999*",'Accounting data'!$I$2:$I$37002,"7*",'Accounting data'!$J$2:$J$37002,"22*",'Accounting data'!$K$2:$K$37002,"69*")+SUMIFS('Accounting data'!$G$2:$G$37002,'Accounting data'!$H$2:$H$37002,"9999*",'Accounting data'!$I$2:$I$37002,"8*",'Accounting data'!$J$2:$J$37002,"22*",'Accounting data'!$K$2:$K$37002,"69*")+SUMIFS('Accounting data'!$G$2:$G$37002,'Accounting data'!$H$2:$H$37002,"9999*",'Accounting data'!$I$2:$I$37002,"9*",'Accounting data'!$J$2:$J$37002,"22*",'Accounting data'!$K$2:$K$37002,"69*")</f>
        <v>0</v>
      </c>
    </row>
    <row r="1243" spans="1:5" x14ac:dyDescent="0.2">
      <c r="A1243" s="522"/>
      <c r="B1243" s="522"/>
      <c r="C1243" s="522"/>
      <c r="D1243" s="522"/>
      <c r="E1243" s="523"/>
    </row>
    <row r="1244" spans="1:5" x14ac:dyDescent="0.2">
      <c r="A1244" s="524" t="s">
        <v>991</v>
      </c>
      <c r="B1244" s="522" t="s">
        <v>992</v>
      </c>
      <c r="C1244" s="522">
        <v>2200</v>
      </c>
      <c r="D1244" s="531">
        <v>6700</v>
      </c>
      <c r="E1244" s="523">
        <f>SUMIFS('Accounting data'!$G$2:$G$37002,'Accounting data'!$H$2:$H$37002,"9999*",'Accounting data'!$I$2:$I$37002,"7*",'Accounting data'!$J$2:$J$37002,"22*",'Accounting data'!$K$2:$K$37002,"67*")+SUMIFS('Accounting data'!$G$2:$G$37002,'Accounting data'!$H$2:$H$37002,"9999*",'Accounting data'!$I$2:$I$37002,"8*",'Accounting data'!$J$2:$J$37002,"22*",'Accounting data'!$K$2:$K$37002,"67*")+SUMIFS('Accounting data'!$G$2:$G$37002,'Accounting data'!$H$2:$H$37002,"9999*",'Accounting data'!$I$2:$I$37002,"9*",'Accounting data'!$J$2:$J$37002,"22*",'Accounting data'!$K$2:$K$37002,"67*")</f>
        <v>0</v>
      </c>
    </row>
    <row r="1245" spans="1:5" x14ac:dyDescent="0.2">
      <c r="A1245" s="524"/>
      <c r="B1245" s="522"/>
      <c r="C1245" s="522"/>
      <c r="D1245" s="531"/>
      <c r="E1245" s="523"/>
    </row>
    <row r="1246" spans="1:5" x14ac:dyDescent="0.2">
      <c r="A1246" s="524"/>
      <c r="B1246" s="522"/>
      <c r="C1246" s="522"/>
      <c r="D1246" s="531"/>
      <c r="E1246" s="523"/>
    </row>
    <row r="1247" spans="1:5" x14ac:dyDescent="0.2">
      <c r="A1247" s="525" t="s">
        <v>1089</v>
      </c>
      <c r="B1247" s="525"/>
      <c r="C1247" s="525"/>
      <c r="D1247" s="525"/>
      <c r="E1247" s="527">
        <f>(E1237-E1238-E1239)-((E1240+E1241)-(E1242+E1243))-(E1244+E1245+E1246)</f>
        <v>0</v>
      </c>
    </row>
    <row r="1248" spans="1:5" x14ac:dyDescent="0.2">
      <c r="A1248" s="522" t="s">
        <v>990</v>
      </c>
      <c r="B1248" s="522" t="s">
        <v>992</v>
      </c>
      <c r="C1248" s="522">
        <v>2300</v>
      </c>
      <c r="D1248" s="522">
        <v>6000</v>
      </c>
      <c r="E1248" s="523">
        <f>SUMIFS('Accounting data'!$G$2:$G$37002,'Accounting data'!$I$2:$I$37002,"7*",'Accounting data'!$J$2:$J$37002,"23*",'Accounting data'!$K$2:$K$37002,"6*")+SUMIFS('Accounting data'!$G$2:$G$37002,'Accounting data'!$I$2:$I$37002,"8*",'Accounting data'!$J$2:$J$37002,"23*",'Accounting data'!$K$2:$K$37002,"6*")+SUMIFS('Accounting data'!$G$2:$G$37002,'Accounting data'!$I$2:$I$37002,"9*",'Accounting data'!$J$2:$J$37002,"23*",'Accounting data'!$K$2:$K$37002,"6*")</f>
        <v>0</v>
      </c>
    </row>
    <row r="1249" spans="1:5" x14ac:dyDescent="0.2">
      <c r="A1249" s="522" t="s">
        <v>990</v>
      </c>
      <c r="B1249" s="522" t="s">
        <v>992</v>
      </c>
      <c r="C1249" s="522">
        <v>2300</v>
      </c>
      <c r="D1249" s="522">
        <v>6900</v>
      </c>
      <c r="E1249" s="523">
        <f>SUMIFS('Accounting data'!$G$2:$G$37002,'Accounting data'!$I$2:$I$37002,"7*",'Accounting data'!$J$2:$J$37002,"23*",'Accounting data'!$K$2:$K$37002,"69*")+SUMIFS('Accounting data'!$G$2:$G$37002,'Accounting data'!$I$2:$I$37002,"8*",'Accounting data'!$J$2:$J$37002,"23*",'Accounting data'!$K$2:$K$37002,"69*")+SUMIFS('Accounting data'!$G$2:$G$37002,'Accounting data'!$I$2:$I$37002,"9*",'Accounting data'!$J$2:$J$37002,"23*",'Accounting data'!$K$2:$K$37002,"69*")</f>
        <v>0</v>
      </c>
    </row>
    <row r="1250" spans="1:5" x14ac:dyDescent="0.2">
      <c r="A1250" s="522" t="s">
        <v>990</v>
      </c>
      <c r="B1250" s="522" t="s">
        <v>992</v>
      </c>
      <c r="C1250" s="522">
        <v>2300</v>
      </c>
      <c r="D1250" s="531">
        <v>6700</v>
      </c>
      <c r="E1250" s="523">
        <f>SUMIFS('Accounting data'!$G$2:$G$37002,'Accounting data'!$I$2:$I$37002,"7*",'Accounting data'!$J$2:$J$37002,"23*",'Accounting data'!$K$2:$K$37002,"67*")+SUMIFS('Accounting data'!$G$2:$G$37002,'Accounting data'!$I$2:$I$37002,"8*",'Accounting data'!$J$2:$J$37002,"23*",'Accounting data'!$K$2:$K$37002,"67*")+SUMIFS('Accounting data'!$G$2:$G$37002,'Accounting data'!$I$2:$I$37002,"9*",'Accounting data'!$J$2:$J$37002,"23*",'Accounting data'!$K$2:$K$37002,"67*")</f>
        <v>0</v>
      </c>
    </row>
    <row r="1251" spans="1:5" x14ac:dyDescent="0.2">
      <c r="A1251" s="524" t="s">
        <v>991</v>
      </c>
      <c r="B1251" s="522" t="s">
        <v>992</v>
      </c>
      <c r="C1251" s="522">
        <v>2300</v>
      </c>
      <c r="D1251" s="522">
        <v>6000</v>
      </c>
      <c r="E1251" s="523">
        <f>SUMIFS('Accounting data'!$G$2:$G$37002,'Accounting data'!$H$2:$H$37002,"9999*",'Accounting data'!$I$2:$I$37002,"7*",'Accounting data'!$J$2:$J$37002,"23*",'Accounting data'!$K$2:$K$37002,"6*")+SUMIFS('Accounting data'!$G$2:$G$37002,'Accounting data'!$H$2:$H$37002,"9999*",'Accounting data'!$I$2:$I$37002,"8*",'Accounting data'!$J$2:$J$37002,"23*",'Accounting data'!$K$2:$K$37002,"6*")+SUMIFS('Accounting data'!$G$2:$G$37002,'Accounting data'!$H$2:$H$37002,"9999*",'Accounting data'!$I$2:$I$37002,"9*",'Accounting data'!$J$2:$J$37002,"23*",'Accounting data'!$K$2:$K$37002,"6*")</f>
        <v>0</v>
      </c>
    </row>
    <row r="1252" spans="1:5" x14ac:dyDescent="0.2">
      <c r="A1252" s="522"/>
      <c r="B1252" s="522"/>
      <c r="C1252" s="522"/>
      <c r="D1252" s="522"/>
      <c r="E1252" s="523"/>
    </row>
    <row r="1253" spans="1:5" x14ac:dyDescent="0.2">
      <c r="A1253" s="524" t="s">
        <v>991</v>
      </c>
      <c r="B1253" s="522" t="s">
        <v>992</v>
      </c>
      <c r="C1253" s="522">
        <v>2300</v>
      </c>
      <c r="D1253" s="522">
        <v>6900</v>
      </c>
      <c r="E1253" s="523">
        <f>SUMIFS('Accounting data'!$G$2:$G$37002,'Accounting data'!$H$2:$H$37002,"9999*",'Accounting data'!$I$2:$I$37002,"7*",'Accounting data'!$J$2:$J$37002,"23*",'Accounting data'!$K$2:$K$37002,"69*")+SUMIFS('Accounting data'!$G$2:$G$37002,'Accounting data'!$H$2:$H$37002,"9999*",'Accounting data'!$I$2:$I$37002,"8*",'Accounting data'!$J$2:$J$37002,"23*",'Accounting data'!$K$2:$K$37002,"69*")+SUMIFS('Accounting data'!$G$2:$G$37002,'Accounting data'!$H$2:$H$37002,"9999*",'Accounting data'!$I$2:$I$37002,"9*",'Accounting data'!$J$2:$J$37002,"23*",'Accounting data'!$K$2:$K$37002,"69*")</f>
        <v>0</v>
      </c>
    </row>
    <row r="1254" spans="1:5" x14ac:dyDescent="0.2">
      <c r="A1254" s="522"/>
      <c r="B1254" s="522"/>
      <c r="C1254" s="522"/>
      <c r="D1254" s="522"/>
      <c r="E1254" s="523"/>
    </row>
    <row r="1255" spans="1:5" x14ac:dyDescent="0.2">
      <c r="A1255" s="524" t="s">
        <v>991</v>
      </c>
      <c r="B1255" s="522" t="s">
        <v>992</v>
      </c>
      <c r="C1255" s="522">
        <v>2300</v>
      </c>
      <c r="D1255" s="531">
        <v>6700</v>
      </c>
      <c r="E1255" s="523">
        <f>SUMIFS('Accounting data'!$G$2:$G$37002,'Accounting data'!$H$2:$H$37002,"9999*",'Accounting data'!$I$2:$I$37002,"7*",'Accounting data'!$J$2:$J$37002,"23*",'Accounting data'!$K$2:$K$37002,"67*")+SUMIFS('Accounting data'!$G$2:$G$37002,'Accounting data'!$H$2:$H$37002,"9999*",'Accounting data'!$I$2:$I$37002,"8*",'Accounting data'!$J$2:$J$37002,"23*",'Accounting data'!$K$2:$K$37002,"67*")+SUMIFS('Accounting data'!$G$2:$G$37002,'Accounting data'!$H$2:$H$37002,"9999*",'Accounting data'!$I$2:$I$37002,"9*",'Accounting data'!$J$2:$J$37002,"23*",'Accounting data'!$K$2:$K$37002,"67*")</f>
        <v>0</v>
      </c>
    </row>
    <row r="1256" spans="1:5" x14ac:dyDescent="0.2">
      <c r="A1256" s="524"/>
      <c r="B1256" s="522"/>
      <c r="C1256" s="522"/>
      <c r="D1256" s="531"/>
      <c r="E1256" s="523"/>
    </row>
    <row r="1257" spans="1:5" x14ac:dyDescent="0.2">
      <c r="A1257" s="524"/>
      <c r="B1257" s="522"/>
      <c r="C1257" s="522"/>
      <c r="D1257" s="531"/>
      <c r="E1257" s="523"/>
    </row>
    <row r="1258" spans="1:5" x14ac:dyDescent="0.2">
      <c r="A1258" s="525" t="s">
        <v>1090</v>
      </c>
      <c r="B1258" s="525"/>
      <c r="C1258" s="525"/>
      <c r="D1258" s="525"/>
      <c r="E1258" s="527">
        <f>(E1248-E1249-E1250)-((E1251+E1252)-(E1253+E1254))-(E1255+E1256+E1257)</f>
        <v>0</v>
      </c>
    </row>
    <row r="1259" spans="1:5" x14ac:dyDescent="0.2">
      <c r="A1259" s="522" t="s">
        <v>990</v>
      </c>
      <c r="B1259" s="522" t="s">
        <v>992</v>
      </c>
      <c r="C1259" s="522">
        <v>2400</v>
      </c>
      <c r="D1259" s="522">
        <v>6000</v>
      </c>
      <c r="E1259" s="523">
        <f>SUMIFS('Accounting data'!$G$2:$G$37002,'Accounting data'!$I$2:$I$37002,"7*",'Accounting data'!$J$2:$J$37002,"24*",'Accounting data'!$K$2:$K$37002,"6*")+SUMIFS('Accounting data'!$G$2:$G$37002,'Accounting data'!$I$2:$I$37002,"8*",'Accounting data'!$J$2:$J$37002,"24*",'Accounting data'!$K$2:$K$37002,"6*")+SUMIFS('Accounting data'!$G$2:$G$37002,'Accounting data'!$I$2:$I$37002,"9*",'Accounting data'!$J$2:$J$37002,"24*",'Accounting data'!$K$2:$K$37002,"6*")</f>
        <v>0</v>
      </c>
    </row>
    <row r="1260" spans="1:5" x14ac:dyDescent="0.2">
      <c r="A1260" s="522" t="s">
        <v>990</v>
      </c>
      <c r="B1260" s="522" t="s">
        <v>992</v>
      </c>
      <c r="C1260" s="522">
        <v>2400</v>
      </c>
      <c r="D1260" s="522">
        <v>6900</v>
      </c>
      <c r="E1260" s="523">
        <f>SUMIFS('Accounting data'!$G$2:$G$37002,'Accounting data'!$I$2:$I$37002,"7*",'Accounting data'!$J$2:$J$37002,"24*",'Accounting data'!$K$2:$K$37002,"69*")+SUMIFS('Accounting data'!$G$2:$G$37002,'Accounting data'!$I$2:$I$37002,"8*",'Accounting data'!$J$2:$J$37002,"24*",'Accounting data'!$K$2:$K$37002,"69*")+SUMIFS('Accounting data'!$G$2:$G$37002,'Accounting data'!$I$2:$I$37002,"9*",'Accounting data'!$J$2:$J$37002,"24*",'Accounting data'!$K$2:$K$37002,"69*")</f>
        <v>0</v>
      </c>
    </row>
    <row r="1261" spans="1:5" x14ac:dyDescent="0.2">
      <c r="A1261" s="522" t="s">
        <v>990</v>
      </c>
      <c r="B1261" s="522" t="s">
        <v>992</v>
      </c>
      <c r="C1261" s="522">
        <v>2400</v>
      </c>
      <c r="D1261" s="531">
        <v>6700</v>
      </c>
      <c r="E1261" s="523">
        <f>SUMIFS('Accounting data'!$G$2:$G$37002,'Accounting data'!$I$2:$I$37002,"7*",'Accounting data'!$J$2:$J$37002,"24*",'Accounting data'!$K$2:$K$37002,"67*")+SUMIFS('Accounting data'!$G$2:$G$37002,'Accounting data'!$I$2:$I$37002,"8*",'Accounting data'!$J$2:$J$37002,"24*",'Accounting data'!$K$2:$K$37002,"67*")+SUMIFS('Accounting data'!$G$2:$G$37002,'Accounting data'!$I$2:$I$37002,"9*",'Accounting data'!$J$2:$J$37002,"24*",'Accounting data'!$K$2:$K$37002,"67*")</f>
        <v>0</v>
      </c>
    </row>
    <row r="1262" spans="1:5" x14ac:dyDescent="0.2">
      <c r="A1262" s="524" t="s">
        <v>991</v>
      </c>
      <c r="B1262" s="522" t="s">
        <v>992</v>
      </c>
      <c r="C1262" s="522">
        <v>2400</v>
      </c>
      <c r="D1262" s="522">
        <v>6000</v>
      </c>
      <c r="E1262" s="523">
        <f>SUMIFS('Accounting data'!$G$2:$G$37002,'Accounting data'!$H$2:$H$37002,"9999*",'Accounting data'!$I$2:$I$37002,"7*",'Accounting data'!$J$2:$J$37002,"24*",'Accounting data'!$K$2:$K$37002,"6*")+SUMIFS('Accounting data'!$G$2:$G$37002,'Accounting data'!$H$2:$H$37002,"9999*",'Accounting data'!$I$2:$I$37002,"8*",'Accounting data'!$J$2:$J$37002,"24*",'Accounting data'!$K$2:$K$37002,"6*")+SUMIFS('Accounting data'!$G$2:$G$37002,'Accounting data'!$H$2:$H$37002,"9999*",'Accounting data'!$I$2:$I$37002,"9*",'Accounting data'!$J$2:$J$37002,"24*",'Accounting data'!$K$2:$K$37002,"6*")</f>
        <v>0</v>
      </c>
    </row>
    <row r="1263" spans="1:5" x14ac:dyDescent="0.2">
      <c r="A1263" s="522"/>
      <c r="B1263" s="522"/>
      <c r="C1263" s="522"/>
      <c r="D1263" s="522"/>
      <c r="E1263" s="523"/>
    </row>
    <row r="1264" spans="1:5" x14ac:dyDescent="0.2">
      <c r="A1264" s="524" t="s">
        <v>991</v>
      </c>
      <c r="B1264" s="522" t="s">
        <v>992</v>
      </c>
      <c r="C1264" s="522">
        <v>2400</v>
      </c>
      <c r="D1264" s="522">
        <v>6900</v>
      </c>
      <c r="E1264" s="523">
        <f>SUMIFS('Accounting data'!$G$2:$G$37002,'Accounting data'!$H$2:$H$37002,"9999*",'Accounting data'!$I$2:$I$37002,"7*",'Accounting data'!$J$2:$J$37002,"24*",'Accounting data'!$K$2:$K$37002,"69*")+SUMIFS('Accounting data'!$G$2:$G$37002,'Accounting data'!$H$2:$H$37002,"9999*",'Accounting data'!$I$2:$I$37002,"8*",'Accounting data'!$J$2:$J$37002,"24*",'Accounting data'!$K$2:$K$37002,"69*")+SUMIFS('Accounting data'!$G$2:$G$37002,'Accounting data'!$H$2:$H$37002,"9999*",'Accounting data'!$I$2:$I$37002,"9*",'Accounting data'!$J$2:$J$37002,"24*",'Accounting data'!$K$2:$K$37002,"69*")</f>
        <v>0</v>
      </c>
    </row>
    <row r="1266" spans="1:5" x14ac:dyDescent="0.2">
      <c r="A1266" s="524" t="s">
        <v>991</v>
      </c>
      <c r="B1266" s="522" t="s">
        <v>992</v>
      </c>
      <c r="C1266" s="522">
        <v>2400</v>
      </c>
      <c r="D1266" s="531">
        <v>6700</v>
      </c>
      <c r="E1266" s="523">
        <f>SUMIFS('Accounting data'!$G$2:$G$37002,'Accounting data'!$H$2:$H$37002,"9999*",'Accounting data'!$I$2:$I$37002,"7*",'Accounting data'!$J$2:$J$37002,"24*",'Accounting data'!$K$2:$K$37002,"67*")+SUMIFS('Accounting data'!$G$2:$G$37002,'Accounting data'!$H$2:$H$37002,"9999*",'Accounting data'!$I$2:$I$37002,"8*",'Accounting data'!$J$2:$J$37002,"24*",'Accounting data'!$K$2:$K$37002,"67*")+SUMIFS('Accounting data'!$G$2:$G$37002,'Accounting data'!$H$2:$H$37002,"9999*",'Accounting data'!$I$2:$I$37002,"9*",'Accounting data'!$J$2:$J$37002,"24*",'Accounting data'!$K$2:$K$37002,"67*")</f>
        <v>0</v>
      </c>
    </row>
    <row r="1267" spans="1:5" x14ac:dyDescent="0.2">
      <c r="A1267" s="524"/>
      <c r="B1267" s="522"/>
      <c r="C1267" s="522"/>
      <c r="D1267" s="531"/>
      <c r="E1267" s="523"/>
    </row>
    <row r="1268" spans="1:5" x14ac:dyDescent="0.2">
      <c r="A1268" s="524"/>
      <c r="B1268" s="522"/>
      <c r="C1268" s="522"/>
      <c r="D1268" s="531"/>
      <c r="E1268" s="523"/>
    </row>
    <row r="1269" spans="1:5" x14ac:dyDescent="0.2">
      <c r="A1269" s="525" t="s">
        <v>1091</v>
      </c>
      <c r="B1269" s="525"/>
      <c r="C1269" s="525"/>
      <c r="D1269" s="525"/>
      <c r="E1269" s="527">
        <f>(E1259-E1260-E1261)-((E1262+E1263)-(E1264+E1265))-(E1266+E1267+E1268)</f>
        <v>0</v>
      </c>
    </row>
    <row r="1270" spans="1:5" x14ac:dyDescent="0.2">
      <c r="A1270" s="522" t="s">
        <v>990</v>
      </c>
      <c r="B1270" s="522" t="s">
        <v>992</v>
      </c>
      <c r="C1270" s="522">
        <v>2500</v>
      </c>
      <c r="D1270" s="522">
        <v>6000</v>
      </c>
      <c r="E1270" s="523">
        <f>SUMIFS('Accounting data'!$G$2:$G$37002,'Accounting data'!$I$2:$I$37002,"7*",'Accounting data'!$J$2:$J$37002,"25*",'Accounting data'!$K$2:$K$37002,"6*")+SUMIFS('Accounting data'!$G$2:$G$37002,'Accounting data'!$I$2:$I$37002,"8*",'Accounting data'!$J$2:$J$37002,"25*",'Accounting data'!$K$2:$K$37002,"6*")+SUMIFS('Accounting data'!$G$2:$G$37002,'Accounting data'!$I$2:$I$37002,"9*",'Accounting data'!$J$2:$J$37002,"25*",'Accounting data'!$K$2:$K$37002,"6*")</f>
        <v>0</v>
      </c>
    </row>
    <row r="1271" spans="1:5" x14ac:dyDescent="0.2">
      <c r="A1271" s="522" t="s">
        <v>990</v>
      </c>
      <c r="B1271" s="522" t="s">
        <v>992</v>
      </c>
      <c r="C1271" s="522">
        <v>2500</v>
      </c>
      <c r="D1271" s="522">
        <v>6900</v>
      </c>
      <c r="E1271" s="523">
        <f>SUMIFS('Accounting data'!$G$2:$G$37002,'Accounting data'!$I$2:$I$37002,"7*",'Accounting data'!$J$2:$J$37002,"25*",'Accounting data'!$K$2:$K$37002,"69*")+SUMIFS('Accounting data'!$G$2:$G$37002,'Accounting data'!$I$2:$I$37002,"8*",'Accounting data'!$J$2:$J$37002,"25*",'Accounting data'!$K$2:$K$37002,"69*")+SUMIFS('Accounting data'!$G$2:$G$37002,'Accounting data'!$I$2:$I$37002,"9*",'Accounting data'!$J$2:$J$37002,"25*",'Accounting data'!$K$2:$K$37002,"69*")</f>
        <v>0</v>
      </c>
    </row>
    <row r="1272" spans="1:5" x14ac:dyDescent="0.2">
      <c r="A1272" s="522" t="s">
        <v>990</v>
      </c>
      <c r="B1272" s="522" t="s">
        <v>992</v>
      </c>
      <c r="C1272" s="522">
        <v>2500</v>
      </c>
      <c r="D1272" s="531">
        <v>6700</v>
      </c>
      <c r="E1272" s="523">
        <f>SUMIFS('Accounting data'!$G$2:$G$37002,'Accounting data'!$I$2:$I$37002,"7*",'Accounting data'!$J$2:$J$37002,"25*",'Accounting data'!$K$2:$K$37002,"67*")+SUMIFS('Accounting data'!$G$2:$G$37002,'Accounting data'!$I$2:$I$37002,"8*",'Accounting data'!$J$2:$J$37002,"25*",'Accounting data'!$K$2:$K$37002,"67*")+SUMIFS('Accounting data'!$G$2:$G$37002,'Accounting data'!$I$2:$I$37002,"9*",'Accounting data'!$J$2:$J$37002,"25*",'Accounting data'!$K$2:$K$37002,"67*")</f>
        <v>0</v>
      </c>
    </row>
    <row r="1273" spans="1:5" x14ac:dyDescent="0.2">
      <c r="A1273" s="524" t="s">
        <v>991</v>
      </c>
      <c r="B1273" s="522" t="s">
        <v>992</v>
      </c>
      <c r="C1273" s="522">
        <v>2500</v>
      </c>
      <c r="D1273" s="522">
        <v>6000</v>
      </c>
      <c r="E1273" s="523">
        <f>SUMIFS('Accounting data'!$G$2:$G$37002,'Accounting data'!$H$2:$H$37002,"9999*",'Accounting data'!$I$2:$I$37002,"7*",'Accounting data'!$J$2:$J$37002,"25*",'Accounting data'!$K$2:$K$37002,"6*")+SUMIFS('Accounting data'!$G$2:$G$37002,'Accounting data'!$H$2:$H$37002,"9999*",'Accounting data'!$I$2:$I$37002,"8*",'Accounting data'!$J$2:$J$37002,"25*",'Accounting data'!$K$2:$K$37002,"6*")+SUMIFS('Accounting data'!$G$2:$G$37002,'Accounting data'!$H$2:$H$37002,"9999*",'Accounting data'!$I$2:$I$37002,"9*",'Accounting data'!$J$2:$J$37002,"25*",'Accounting data'!$K$2:$K$37002,"6*")</f>
        <v>0</v>
      </c>
    </row>
    <row r="1274" spans="1:5" x14ac:dyDescent="0.2">
      <c r="A1274" s="522"/>
      <c r="B1274" s="522"/>
      <c r="C1274" s="522"/>
      <c r="D1274" s="522"/>
      <c r="E1274" s="523"/>
    </row>
    <row r="1275" spans="1:5" x14ac:dyDescent="0.2">
      <c r="A1275" s="524" t="s">
        <v>991</v>
      </c>
      <c r="B1275" s="522" t="s">
        <v>992</v>
      </c>
      <c r="C1275" s="522">
        <v>2500</v>
      </c>
      <c r="D1275" s="522">
        <v>6900</v>
      </c>
      <c r="E1275" s="523">
        <f>SUMIFS('Accounting data'!$G$2:$G$37002,'Accounting data'!$H$2:$H$37002,"9999*",'Accounting data'!$I$2:$I$37002,"7*",'Accounting data'!$J$2:$J$37002,"25*",'Accounting data'!$K$2:$K$37002,"69*")+SUMIFS('Accounting data'!$G$2:$G$37002,'Accounting data'!$H$2:$H$37002,"9999*",'Accounting data'!$I$2:$I$37002,"8*",'Accounting data'!$J$2:$J$37002,"25*",'Accounting data'!$K$2:$K$37002,"69*")+SUMIFS('Accounting data'!$G$2:$G$37002,'Accounting data'!$H$2:$H$37002,"9999*",'Accounting data'!$I$2:$I$37002,"9*",'Accounting data'!$J$2:$J$37002,"25*",'Accounting data'!$K$2:$K$37002,"69*")</f>
        <v>0</v>
      </c>
    </row>
    <row r="1276" spans="1:5" x14ac:dyDescent="0.2">
      <c r="A1276" s="522"/>
      <c r="B1276" s="522"/>
      <c r="C1276" s="522"/>
      <c r="D1276" s="522"/>
      <c r="E1276" s="523"/>
    </row>
    <row r="1277" spans="1:5" x14ac:dyDescent="0.2">
      <c r="A1277" s="524" t="s">
        <v>991</v>
      </c>
      <c r="B1277" s="522" t="s">
        <v>992</v>
      </c>
      <c r="C1277" s="522">
        <v>2500</v>
      </c>
      <c r="D1277" s="531">
        <v>6700</v>
      </c>
      <c r="E1277" s="523">
        <f>SUMIFS('Accounting data'!$G$2:$G$37002,'Accounting data'!$H$2:$H$37002,"9999*",'Accounting data'!$I$2:$I$37002,"7*",'Accounting data'!$J$2:$J$37002,"25*",'Accounting data'!$K$2:$K$37002,"67*")+SUMIFS('Accounting data'!$G$2:$G$37002,'Accounting data'!$H$2:$H$37002,"9999*",'Accounting data'!$I$2:$I$37002,"8*",'Accounting data'!$J$2:$J$37002,"25*",'Accounting data'!$K$2:$K$37002,"67*")+SUMIFS('Accounting data'!$G$2:$G$37002,'Accounting data'!$H$2:$H$37002,"9999*",'Accounting data'!$I$2:$I$37002,"9*",'Accounting data'!$J$2:$J$37002,"25*",'Accounting data'!$K$2:$K$37002,"67*")</f>
        <v>0</v>
      </c>
    </row>
    <row r="1278" spans="1:5" x14ac:dyDescent="0.2">
      <c r="A1278" s="524"/>
      <c r="B1278" s="522"/>
      <c r="C1278" s="522"/>
      <c r="D1278" s="531"/>
      <c r="E1278" s="523"/>
    </row>
    <row r="1279" spans="1:5" x14ac:dyDescent="0.2">
      <c r="A1279" s="524"/>
      <c r="B1279" s="522"/>
      <c r="C1279" s="522"/>
      <c r="D1279" s="531"/>
      <c r="E1279" s="523"/>
    </row>
    <row r="1280" spans="1:5" x14ac:dyDescent="0.2">
      <c r="A1280" s="525" t="s">
        <v>1092</v>
      </c>
      <c r="B1280" s="525"/>
      <c r="C1280" s="525"/>
      <c r="D1280" s="525"/>
      <c r="E1280" s="527">
        <f>(E1270-E1271-E1272)-((E1273+E1274)-(E1275+E1276))-(E1277+E1278+E1279)</f>
        <v>0</v>
      </c>
    </row>
    <row r="1281" spans="1:5" x14ac:dyDescent="0.2">
      <c r="A1281" s="522" t="s">
        <v>990</v>
      </c>
      <c r="B1281" s="522" t="s">
        <v>992</v>
      </c>
      <c r="C1281" s="522">
        <v>2900</v>
      </c>
      <c r="D1281" s="522">
        <v>6000</v>
      </c>
      <c r="E1281" s="523">
        <f>SUMIFS('Accounting data'!$G$2:$G$37002,'Accounting data'!$I$2:$I$37002,"7*",'Accounting data'!$J$2:$J$37002,"29*",'Accounting data'!$K$2:$K$37002,"6*")+SUMIFS('Accounting data'!$G$2:$G$37002,'Accounting data'!$I$2:$I$37002,"8*",'Accounting data'!$J$2:$J$37002,"29*",'Accounting data'!$K$2:$K$37002,"6*")+SUMIFS('Accounting data'!$G$2:$G$37002,'Accounting data'!$I$2:$I$37002,"9*",'Accounting data'!$J$2:$J$37002,"29*",'Accounting data'!$K$2:$K$37002,"6*")</f>
        <v>0</v>
      </c>
    </row>
    <row r="1282" spans="1:5" x14ac:dyDescent="0.2">
      <c r="A1282" s="522" t="s">
        <v>990</v>
      </c>
      <c r="B1282" s="522" t="s">
        <v>992</v>
      </c>
      <c r="C1282" s="522">
        <v>2900</v>
      </c>
      <c r="D1282" s="522">
        <v>6900</v>
      </c>
      <c r="E1282" s="523">
        <f>SUMIFS('Accounting data'!$G$2:$G$37002,'Accounting data'!$I$2:$I$37002,"7*",'Accounting data'!$J$2:$J$37002,"29*",'Accounting data'!$K$2:$K$37002,"69*")+SUMIFS('Accounting data'!$G$2:$G$37002,'Accounting data'!$I$2:$I$37002,"8*",'Accounting data'!$J$2:$J$37002,"29*",'Accounting data'!$K$2:$K$37002,"69*")+SUMIFS('Accounting data'!$G$2:$G$37002,'Accounting data'!$I$2:$I$37002,"9*",'Accounting data'!$J$2:$J$37002,"29*",'Accounting data'!$K$2:$K$37002,"69*")</f>
        <v>0</v>
      </c>
    </row>
    <row r="1283" spans="1:5" x14ac:dyDescent="0.2">
      <c r="A1283" s="522" t="s">
        <v>990</v>
      </c>
      <c r="B1283" s="522" t="s">
        <v>992</v>
      </c>
      <c r="C1283" s="522">
        <v>2900</v>
      </c>
      <c r="D1283" s="531">
        <v>6700</v>
      </c>
      <c r="E1283" s="523">
        <f>SUMIFS('Accounting data'!$G$2:$G$37002,'Accounting data'!$I$2:$I$37002,"7*",'Accounting data'!$J$2:$J$37002,"29*",'Accounting data'!$K$2:$K$37002,"67*")+SUMIFS('Accounting data'!$G$2:$G$37002,'Accounting data'!$I$2:$I$37002,"8*",'Accounting data'!$J$2:$J$37002,"29*",'Accounting data'!$K$2:$K$37002,"67*")+SUMIFS('Accounting data'!$G$2:$G$37002,'Accounting data'!$I$2:$I$37002,"9*",'Accounting data'!$J$2:$J$37002,"29*",'Accounting data'!$K$2:$K$37002,"67*")</f>
        <v>0</v>
      </c>
    </row>
    <row r="1284" spans="1:5" x14ac:dyDescent="0.2">
      <c r="A1284" s="524" t="s">
        <v>991</v>
      </c>
      <c r="B1284" s="522" t="s">
        <v>992</v>
      </c>
      <c r="C1284" s="522">
        <v>2900</v>
      </c>
      <c r="D1284" s="522">
        <v>6000</v>
      </c>
      <c r="E1284" s="523">
        <f>SUMIFS('Accounting data'!$G$2:$G$37002,'Accounting data'!$H$2:$H$37002,"9999*",'Accounting data'!$I$2:$I$37002,"7*",'Accounting data'!$J$2:$J$37002,"29*",'Accounting data'!$K$2:$K$37002,"6*")+SUMIFS('Accounting data'!$G$2:$G$37002,'Accounting data'!$H$2:$H$37002,"9999*",'Accounting data'!$I$2:$I$37002,"8*",'Accounting data'!$J$2:$J$37002,"29*",'Accounting data'!$K$2:$K$37002,"6*")+SUMIFS('Accounting data'!$G$2:$G$37002,'Accounting data'!$H$2:$H$37002,"9999*",'Accounting data'!$I$2:$I$37002,"9*",'Accounting data'!$J$2:$J$37002,"29*",'Accounting data'!$K$2:$K$37002,"6*")</f>
        <v>0</v>
      </c>
    </row>
    <row r="1285" spans="1:5" x14ac:dyDescent="0.2">
      <c r="A1285" s="522"/>
      <c r="B1285" s="522"/>
      <c r="C1285" s="522"/>
      <c r="D1285" s="522"/>
      <c r="E1285" s="523"/>
    </row>
    <row r="1286" spans="1:5" x14ac:dyDescent="0.2">
      <c r="A1286" s="524" t="s">
        <v>991</v>
      </c>
      <c r="B1286" s="522" t="s">
        <v>992</v>
      </c>
      <c r="C1286" s="522">
        <v>2900</v>
      </c>
      <c r="D1286" s="522">
        <v>6900</v>
      </c>
      <c r="E1286" s="523">
        <f>SUMIFS('Accounting data'!$G$2:$G$37002,'Accounting data'!$H$2:$H$37002,"9999*",'Accounting data'!$I$2:$I$37002,"7*",'Accounting data'!$J$2:$J$37002,"29*",'Accounting data'!$K$2:$K$37002,"69*")+SUMIFS('Accounting data'!$G$2:$G$37002,'Accounting data'!$H$2:$H$37002,"9999*",'Accounting data'!$I$2:$I$37002,"8*",'Accounting data'!$J$2:$J$37002,"29*",'Accounting data'!$K$2:$K$37002,"69*")+SUMIFS('Accounting data'!$G$2:$G$37002,'Accounting data'!$H$2:$H$37002,"9999*",'Accounting data'!$I$2:$I$37002,"9*",'Accounting data'!$J$2:$J$37002,"29*",'Accounting data'!$K$2:$K$37002,"69*")</f>
        <v>0</v>
      </c>
    </row>
    <row r="1287" spans="1:5" x14ac:dyDescent="0.2">
      <c r="A1287" s="522"/>
      <c r="B1287" s="522"/>
      <c r="C1287" s="522"/>
      <c r="D1287" s="522"/>
      <c r="E1287" s="523"/>
    </row>
    <row r="1288" spans="1:5" x14ac:dyDescent="0.2">
      <c r="A1288" s="524" t="s">
        <v>991</v>
      </c>
      <c r="B1288" s="522" t="s">
        <v>992</v>
      </c>
      <c r="C1288" s="522">
        <v>2900</v>
      </c>
      <c r="D1288" s="531">
        <v>6700</v>
      </c>
      <c r="E1288" s="523">
        <f>SUMIFS('Accounting data'!$G$2:$G$37002,'Accounting data'!$H$2:$H$37002,"9999*",'Accounting data'!$I$2:$I$37002,"7*",'Accounting data'!$J$2:$J$37002,"29*",'Accounting data'!$K$2:$K$37002,"67*")+SUMIFS('Accounting data'!$G$2:$G$37002,'Accounting data'!$H$2:$H$37002,"9999*",'Accounting data'!$I$2:$I$37002,"8*",'Accounting data'!$J$2:$J$37002,"29*",'Accounting data'!$K$2:$K$37002,"67*")+SUMIFS('Accounting data'!$G$2:$G$37002,'Accounting data'!$H$2:$H$37002,"9999*",'Accounting data'!$I$2:$I$37002,"9*",'Accounting data'!$J$2:$J$37002,"29*",'Accounting data'!$K$2:$K$37002,"67*")</f>
        <v>0</v>
      </c>
    </row>
    <row r="1289" spans="1:5" x14ac:dyDescent="0.2">
      <c r="A1289" s="524"/>
      <c r="B1289" s="522"/>
      <c r="C1289" s="522"/>
      <c r="D1289" s="531"/>
      <c r="E1289" s="523"/>
    </row>
    <row r="1290" spans="1:5" x14ac:dyDescent="0.2">
      <c r="A1290" s="524"/>
      <c r="B1290" s="522"/>
      <c r="C1290" s="522"/>
      <c r="D1290" s="531"/>
      <c r="E1290" s="523"/>
    </row>
    <row r="1291" spans="1:5" x14ac:dyDescent="0.2">
      <c r="A1291" s="525" t="s">
        <v>1093</v>
      </c>
      <c r="B1291" s="525"/>
      <c r="C1291" s="525"/>
      <c r="D1291" s="525"/>
      <c r="E1291" s="527">
        <f>(E1281-E1282-E1283)-((E1284+E1285)-(E1286+E1287))-(E1288+E1289+E1290)</f>
        <v>0</v>
      </c>
    </row>
    <row r="1292" spans="1:5" x14ac:dyDescent="0.2">
      <c r="A1292" s="522" t="s">
        <v>990</v>
      </c>
      <c r="B1292" s="522" t="s">
        <v>992</v>
      </c>
      <c r="C1292" s="522">
        <v>2600</v>
      </c>
      <c r="D1292" s="522">
        <v>6000</v>
      </c>
      <c r="E1292" s="523">
        <f>SUMIFS('Accounting data'!$G$2:$G$37002,'Accounting data'!$I$2:$I$37002,"7*",'Accounting data'!$J$2:$J$37002,"26*",'Accounting data'!$K$2:$K$37002,"6*")+SUMIFS('Accounting data'!$G$2:$G$37002,'Accounting data'!$I$2:$I$37002,"8*",'Accounting data'!$J$2:$J$37002,"26*",'Accounting data'!$K$2:$K$37002,"6*")+SUMIFS('Accounting data'!$G$2:$G$37002,'Accounting data'!$I$2:$I$37002,"9*",'Accounting data'!$J$2:$J$37002,"26*",'Accounting data'!$K$2:$K$37002,"6*")</f>
        <v>0</v>
      </c>
    </row>
    <row r="1293" spans="1:5" x14ac:dyDescent="0.2">
      <c r="A1293" s="522" t="s">
        <v>990</v>
      </c>
      <c r="B1293" s="522" t="s">
        <v>992</v>
      </c>
      <c r="C1293" s="522">
        <v>2600</v>
      </c>
      <c r="D1293" s="522">
        <v>6900</v>
      </c>
      <c r="E1293" s="523">
        <f>SUMIFS('Accounting data'!$G$2:$G$37002,'Accounting data'!$I$2:$I$37002,"7*",'Accounting data'!$J$2:$J$37002,"26*",'Accounting data'!$K$2:$K$37002,"69*")+SUMIFS('Accounting data'!$G$2:$G$37002,'Accounting data'!$I$2:$I$37002,"8*",'Accounting data'!$J$2:$J$37002,"26*",'Accounting data'!$K$2:$K$37002,"69*")+SUMIFS('Accounting data'!$G$2:$G$37002,'Accounting data'!$I$2:$I$37002,"9*",'Accounting data'!$J$2:$J$37002,"26*",'Accounting data'!$K$2:$K$37002,"69*")</f>
        <v>0</v>
      </c>
    </row>
    <row r="1294" spans="1:5" x14ac:dyDescent="0.2">
      <c r="A1294" s="522" t="s">
        <v>990</v>
      </c>
      <c r="B1294" s="522" t="s">
        <v>992</v>
      </c>
      <c r="C1294" s="522">
        <v>2600</v>
      </c>
      <c r="D1294" s="531">
        <v>6700</v>
      </c>
      <c r="E1294" s="523">
        <f>SUMIFS('Accounting data'!$G$2:$G$37002,'Accounting data'!$I$2:$I$37002,"7*",'Accounting data'!$J$2:$J$37002,"26*",'Accounting data'!$K$2:$K$37002,"67*")+SUMIFS('Accounting data'!$G$2:$G$37002,'Accounting data'!$I$2:$I$37002,"8*",'Accounting data'!$J$2:$J$37002,"26*",'Accounting data'!$K$2:$K$37002,"67*")+SUMIFS('Accounting data'!$G$2:$G$37002,'Accounting data'!$I$2:$I$37002,"9*",'Accounting data'!$J$2:$J$37002,"26*",'Accounting data'!$K$2:$K$37002,"67*")</f>
        <v>0</v>
      </c>
    </row>
    <row r="1295" spans="1:5" x14ac:dyDescent="0.2">
      <c r="A1295" s="524" t="s">
        <v>991</v>
      </c>
      <c r="B1295" s="522" t="s">
        <v>992</v>
      </c>
      <c r="C1295" s="522">
        <v>2600</v>
      </c>
      <c r="D1295" s="522">
        <v>6000</v>
      </c>
      <c r="E1295" s="523">
        <f>SUMIFS('Accounting data'!$G$2:$G$37002,'Accounting data'!$H$2:$H$37002,"9999*",'Accounting data'!$I$2:$I$37002,"7*",'Accounting data'!$J$2:$J$37002,"26*",'Accounting data'!$K$2:$K$37002,"6*")+SUMIFS('Accounting data'!$G$2:$G$37002,'Accounting data'!$H$2:$H$37002,"9999*",'Accounting data'!$I$2:$I$37002,"8*",'Accounting data'!$J$2:$J$37002,"26*",'Accounting data'!$K$2:$K$37002,"6*")+SUMIFS('Accounting data'!$G$2:$G$37002,'Accounting data'!$H$2:$H$37002,"9999*",'Accounting data'!$I$2:$I$37002,"9*",'Accounting data'!$J$2:$J$37002,"26*",'Accounting data'!$K$2:$K$37002,"6*")</f>
        <v>0</v>
      </c>
    </row>
    <row r="1297" spans="1:5" x14ac:dyDescent="0.2">
      <c r="A1297" s="524" t="s">
        <v>991</v>
      </c>
      <c r="B1297" s="522" t="s">
        <v>992</v>
      </c>
      <c r="C1297" s="522">
        <v>2600</v>
      </c>
      <c r="D1297" s="522">
        <v>6900</v>
      </c>
      <c r="E1297" s="523">
        <f>SUMIFS('Accounting data'!$G$2:$G$37002,'Accounting data'!$H$2:$H$37002,"9999*",'Accounting data'!$I$2:$I$37002,"7*",'Accounting data'!$J$2:$J$37002,"26*",'Accounting data'!$K$2:$K$37002,"69*")+SUMIFS('Accounting data'!$G$2:$G$37002,'Accounting data'!$H$2:$H$37002,"9999*",'Accounting data'!$I$2:$I$37002,"8*",'Accounting data'!$J$2:$J$37002,"26*",'Accounting data'!$K$2:$K$37002,"69*")+SUMIFS('Accounting data'!$G$2:$G$37002,'Accounting data'!$H$2:$H$37002,"9999*",'Accounting data'!$I$2:$I$37002,"9*",'Accounting data'!$J$2:$J$37002,"26*",'Accounting data'!$K$2:$K$37002,"69*")</f>
        <v>0</v>
      </c>
    </row>
    <row r="1298" spans="1:5" x14ac:dyDescent="0.2">
      <c r="A1298" s="522"/>
      <c r="B1298" s="522"/>
      <c r="C1298" s="522"/>
      <c r="D1298" s="522"/>
      <c r="E1298" s="523"/>
    </row>
    <row r="1299" spans="1:5" x14ac:dyDescent="0.2">
      <c r="A1299" s="524" t="s">
        <v>991</v>
      </c>
      <c r="B1299" s="522" t="s">
        <v>992</v>
      </c>
      <c r="C1299" s="522">
        <v>2600</v>
      </c>
      <c r="D1299" s="531">
        <v>6700</v>
      </c>
      <c r="E1299" s="523">
        <f>SUMIFS('Accounting data'!$G$2:$G$37002,'Accounting data'!$H$2:$H$37002,"9999*",'Accounting data'!$I$2:$I$37002,"7*",'Accounting data'!$J$2:$J$37002,"26*",'Accounting data'!$K$2:$K$37002,"67*")+SUMIFS('Accounting data'!$G$2:$G$37002,'Accounting data'!$H$2:$H$37002,"9999*",'Accounting data'!$I$2:$I$37002,"8*",'Accounting data'!$J$2:$J$37002,"26*",'Accounting data'!$K$2:$K$37002,"67*")+SUMIFS('Accounting data'!$G$2:$G$37002,'Accounting data'!$H$2:$H$37002,"9999*",'Accounting data'!$I$2:$I$37002,"9*",'Accounting data'!$J$2:$J$37002,"26*",'Accounting data'!$K$2:$K$37002,"67*")</f>
        <v>0</v>
      </c>
    </row>
    <row r="1300" spans="1:5" x14ac:dyDescent="0.2">
      <c r="A1300" s="524"/>
      <c r="B1300" s="522"/>
      <c r="C1300" s="522"/>
      <c r="D1300" s="531"/>
      <c r="E1300" s="523"/>
    </row>
    <row r="1301" spans="1:5" x14ac:dyDescent="0.2">
      <c r="A1301" s="524"/>
      <c r="B1301" s="522"/>
      <c r="C1301" s="522"/>
      <c r="D1301" s="531"/>
      <c r="E1301" s="523"/>
    </row>
    <row r="1302" spans="1:5" x14ac:dyDescent="0.2">
      <c r="A1302" s="525" t="s">
        <v>1094</v>
      </c>
      <c r="B1302" s="525"/>
      <c r="C1302" s="525"/>
      <c r="D1302" s="525"/>
      <c r="E1302" s="527">
        <f>(E1292-E1293-E1294)-((E1295+E1296)-(E1297+E1298))-(E1299+E1300+E1301)</f>
        <v>0</v>
      </c>
    </row>
    <row r="1303" spans="1:5" x14ac:dyDescent="0.2">
      <c r="A1303" s="522" t="s">
        <v>990</v>
      </c>
      <c r="B1303" s="522" t="s">
        <v>992</v>
      </c>
      <c r="C1303" s="522">
        <v>3100</v>
      </c>
      <c r="D1303" s="522">
        <v>6000</v>
      </c>
      <c r="E1303" s="523">
        <f>SUMIFS('Accounting data'!$G$2:$G$37002,'Accounting data'!$I$2:$I$37002,"7*",'Accounting data'!$J$2:$J$37002,"31*",'Accounting data'!$K$2:$K$37002,"6*")+SUMIFS('Accounting data'!$G$2:$G$37002,'Accounting data'!$I$2:$I$37002,"8*",'Accounting data'!$J$2:$J$37002,"31*",'Accounting data'!$K$2:$K$37002,"6*")+SUMIFS('Accounting data'!$G$2:$G$37002,'Accounting data'!$I$2:$I$37002,"9*",'Accounting data'!$J$2:$J$37002,"31*",'Accounting data'!$K$2:$K$37002,"6*")</f>
        <v>0</v>
      </c>
    </row>
    <row r="1304" spans="1:5" x14ac:dyDescent="0.2">
      <c r="A1304" s="522" t="s">
        <v>990</v>
      </c>
      <c r="B1304" s="522" t="s">
        <v>992</v>
      </c>
      <c r="C1304" s="522">
        <v>3100</v>
      </c>
      <c r="D1304" s="522">
        <v>6900</v>
      </c>
      <c r="E1304" s="523">
        <f>SUMIFS('Accounting data'!$G$2:$G$37002,'Accounting data'!$I$2:$I$37002,"7*",'Accounting data'!$J$2:$J$37002,"31*",'Accounting data'!$K$2:$K$37002,"69*")+SUMIFS('Accounting data'!$G$2:$G$37002,'Accounting data'!$I$2:$I$37002,"8*",'Accounting data'!$J$2:$J$37002,"31*",'Accounting data'!$K$2:$K$37002,"69*")+SUMIFS('Accounting data'!$G$2:$G$37002,'Accounting data'!$I$2:$I$37002,"9*",'Accounting data'!$J$2:$J$37002,"31*",'Accounting data'!$K$2:$K$37002,"69*")</f>
        <v>0</v>
      </c>
    </row>
    <row r="1305" spans="1:5" x14ac:dyDescent="0.2">
      <c r="A1305" s="522" t="s">
        <v>990</v>
      </c>
      <c r="B1305" s="522" t="s">
        <v>992</v>
      </c>
      <c r="C1305" s="522">
        <v>3100</v>
      </c>
      <c r="D1305" s="531">
        <v>6700</v>
      </c>
      <c r="E1305" s="523">
        <f>SUMIFS('Accounting data'!$G$2:$G$37002,'Accounting data'!$I$2:$I$37002,"7*",'Accounting data'!$J$2:$J$37002,"31*",'Accounting data'!$K$2:$K$37002,"67*")+SUMIFS('Accounting data'!$G$2:$G$37002,'Accounting data'!$I$2:$I$37002,"8*",'Accounting data'!$J$2:$J$37002,"31*",'Accounting data'!$K$2:$K$37002,"67*")+SUMIFS('Accounting data'!$G$2:$G$37002,'Accounting data'!$I$2:$I$37002,"9*",'Accounting data'!$J$2:$J$37002,"31*",'Accounting data'!$K$2:$K$37002,"67*")</f>
        <v>0</v>
      </c>
    </row>
    <row r="1306" spans="1:5" x14ac:dyDescent="0.2">
      <c r="A1306" s="524" t="s">
        <v>991</v>
      </c>
      <c r="B1306" s="522" t="s">
        <v>992</v>
      </c>
      <c r="C1306" s="522">
        <v>3100</v>
      </c>
      <c r="D1306" s="522">
        <v>6000</v>
      </c>
      <c r="E1306" s="523">
        <f>SUMIFS('Accounting data'!$G$2:$G$37002,'Accounting data'!$H$2:$H$37002,"9999*",'Accounting data'!$I$2:$I$37002,"7*",'Accounting data'!$J$2:$J$37002,"31*",'Accounting data'!$K$2:$K$37002,"6*")+SUMIFS('Accounting data'!$G$2:$G$37002,'Accounting data'!$H$2:$H$37002,"9999*",'Accounting data'!$I$2:$I$37002,"8*",'Accounting data'!$J$2:$J$37002,"31*",'Accounting data'!$K$2:$K$37002,"6*")+SUMIFS('Accounting data'!$G$2:$G$37002,'Accounting data'!$H$2:$H$37002,"9999*",'Accounting data'!$I$2:$I$37002,"9*",'Accounting data'!$J$2:$J$37002,"31*",'Accounting data'!$K$2:$K$37002,"6*")</f>
        <v>0</v>
      </c>
    </row>
    <row r="1307" spans="1:5" x14ac:dyDescent="0.2">
      <c r="A1307" s="522"/>
      <c r="B1307" s="522"/>
      <c r="C1307" s="522"/>
      <c r="D1307" s="522"/>
      <c r="E1307" s="523"/>
    </row>
    <row r="1308" spans="1:5" x14ac:dyDescent="0.2">
      <c r="A1308" s="524" t="s">
        <v>991</v>
      </c>
      <c r="B1308" s="522" t="s">
        <v>992</v>
      </c>
      <c r="C1308" s="522">
        <v>3100</v>
      </c>
      <c r="D1308" s="522">
        <v>6900</v>
      </c>
      <c r="E1308" s="523">
        <f>SUMIFS('Accounting data'!$G$2:$G$37002,'Accounting data'!$H$2:$H$37002,"9999*",'Accounting data'!$I$2:$I$37002,"7*",'Accounting data'!$J$2:$J$37002,"31*",'Accounting data'!$K$2:$K$37002,"69*")+SUMIFS('Accounting data'!$G$2:$G$37002,'Accounting data'!$H$2:$H$37002,"9999*",'Accounting data'!$I$2:$I$37002,"8*",'Accounting data'!$J$2:$J$37002,"31*",'Accounting data'!$K$2:$K$37002,"69*")+SUMIFS('Accounting data'!$G$2:$G$37002,'Accounting data'!$H$2:$H$37002,"9999*",'Accounting data'!$I$2:$I$37002,"9*",'Accounting data'!$J$2:$J$37002,"31*",'Accounting data'!$K$2:$K$37002,"69*")</f>
        <v>0</v>
      </c>
    </row>
    <row r="1309" spans="1:5" x14ac:dyDescent="0.2">
      <c r="A1309" s="522"/>
      <c r="B1309" s="522"/>
      <c r="C1309" s="522"/>
      <c r="D1309" s="522"/>
      <c r="E1309" s="523"/>
    </row>
    <row r="1310" spans="1:5" x14ac:dyDescent="0.2">
      <c r="A1310" s="524" t="s">
        <v>991</v>
      </c>
      <c r="B1310" s="522" t="s">
        <v>992</v>
      </c>
      <c r="C1310" s="522">
        <v>3100</v>
      </c>
      <c r="D1310" s="531">
        <v>6700</v>
      </c>
      <c r="E1310" s="523">
        <f>SUMIFS('Accounting data'!$G$2:$G$37002,'Accounting data'!$H$2:$H$37002,"9999*",'Accounting data'!$I$2:$I$37002,"7*",'Accounting data'!$J$2:$J$37002,"31*",'Accounting data'!$K$2:$K$37002,"67*")+SUMIFS('Accounting data'!$G$2:$G$37002,'Accounting data'!$H$2:$H$37002,"9999*",'Accounting data'!$I$2:$I$37002,"8*",'Accounting data'!$J$2:$J$37002,"31*",'Accounting data'!$K$2:$K$37002,"67*")+SUMIFS('Accounting data'!$G$2:$G$37002,'Accounting data'!$H$2:$H$37002,"9999*",'Accounting data'!$I$2:$I$37002,"9*",'Accounting data'!$J$2:$J$37002,"31*",'Accounting data'!$K$2:$K$37002,"67*")</f>
        <v>0</v>
      </c>
    </row>
    <row r="1313" spans="1:5" x14ac:dyDescent="0.2">
      <c r="A1313" s="525" t="s">
        <v>1095</v>
      </c>
      <c r="B1313" s="525"/>
      <c r="C1313" s="525"/>
      <c r="D1313" s="525"/>
      <c r="E1313" s="527">
        <f>(E1303-E1304-E1305)-((E1306+E1307)-(E1308+E1309))-(E1310+E1311+E1312)</f>
        <v>0</v>
      </c>
    </row>
    <row r="1314" spans="1:5" x14ac:dyDescent="0.2">
      <c r="A1314" s="522"/>
      <c r="B1314" s="522"/>
      <c r="C1314" s="522"/>
      <c r="D1314" s="522"/>
      <c r="E1314" s="523"/>
    </row>
    <row r="1315" spans="1:5" x14ac:dyDescent="0.2">
      <c r="A1315" s="522"/>
      <c r="B1315" s="522"/>
      <c r="C1315" s="522"/>
      <c r="D1315" s="522"/>
      <c r="E1315" s="523"/>
    </row>
    <row r="1316" spans="1:5" x14ac:dyDescent="0.2">
      <c r="A1316" s="522"/>
      <c r="B1316" s="522"/>
      <c r="C1316" s="522"/>
      <c r="D1316" s="531"/>
      <c r="E1316" s="523"/>
    </row>
    <row r="1317" spans="1:5" x14ac:dyDescent="0.2">
      <c r="A1317" s="524"/>
      <c r="B1317" s="522"/>
      <c r="C1317" s="522"/>
      <c r="D1317" s="522"/>
      <c r="E1317" s="523"/>
    </row>
    <row r="1318" spans="1:5" x14ac:dyDescent="0.2">
      <c r="A1318" s="522"/>
      <c r="B1318" s="522"/>
      <c r="C1318" s="522"/>
      <c r="D1318" s="522"/>
      <c r="E1318" s="523"/>
    </row>
    <row r="1319" spans="1:5" x14ac:dyDescent="0.2">
      <c r="A1319" s="524"/>
      <c r="B1319" s="522"/>
      <c r="C1319" s="522"/>
      <c r="D1319" s="522"/>
      <c r="E1319" s="523"/>
    </row>
    <row r="1320" spans="1:5" x14ac:dyDescent="0.2">
      <c r="A1320" s="522"/>
      <c r="B1320" s="522"/>
      <c r="C1320" s="522"/>
      <c r="D1320" s="522"/>
      <c r="E1320" s="523"/>
    </row>
    <row r="1321" spans="1:5" x14ac:dyDescent="0.2">
      <c r="A1321" s="524"/>
      <c r="B1321" s="522"/>
      <c r="C1321" s="522"/>
      <c r="D1321" s="531"/>
      <c r="E1321" s="523"/>
    </row>
    <row r="1322" spans="1:5" x14ac:dyDescent="0.2">
      <c r="A1322" s="524"/>
      <c r="B1322" s="522"/>
      <c r="C1322" s="522"/>
      <c r="D1322" s="531"/>
      <c r="E1322" s="523"/>
    </row>
    <row r="1323" spans="1:5" x14ac:dyDescent="0.2">
      <c r="A1323" s="524"/>
      <c r="B1323" s="522"/>
      <c r="C1323" s="522"/>
      <c r="D1323" s="531"/>
      <c r="E1323" s="523"/>
    </row>
    <row r="1324" spans="1:5" x14ac:dyDescent="0.2">
      <c r="A1324" s="525"/>
      <c r="B1324" s="525"/>
      <c r="C1324" s="525"/>
      <c r="D1324" s="525"/>
      <c r="E1324" s="527"/>
    </row>
    <row r="1325" spans="1:5" x14ac:dyDescent="0.2">
      <c r="A1325" s="522" t="s">
        <v>990</v>
      </c>
      <c r="B1325" s="522" t="s">
        <v>992</v>
      </c>
      <c r="C1325" s="522">
        <v>3300</v>
      </c>
      <c r="D1325" s="522">
        <v>6000</v>
      </c>
      <c r="E1325" s="523">
        <f>SUMIFS('Accounting data'!$G$2:$G$37002,'Accounting data'!$I$2:$I$37002,"7*",'Accounting data'!$J$2:$J$37002,"33*",'Accounting data'!$K$2:$K$37002,"6*")+SUMIFS('Accounting data'!$G$2:$G$37002,'Accounting data'!$I$2:$I$37002,"8*",'Accounting data'!$J$2:$J$37002,"33*",'Accounting data'!$K$2:$K$37002,"6*")+SUMIFS('Accounting data'!$G$2:$G$37002,'Accounting data'!$I$2:$I$37002,"9*",'Accounting data'!$J$2:$J$37002,"33*",'Accounting data'!$K$2:$K$37002,"6*")</f>
        <v>0</v>
      </c>
    </row>
    <row r="1326" spans="1:5" x14ac:dyDescent="0.2">
      <c r="A1326" s="522" t="s">
        <v>990</v>
      </c>
      <c r="B1326" s="522" t="s">
        <v>992</v>
      </c>
      <c r="C1326" s="522">
        <v>3300</v>
      </c>
      <c r="D1326" s="522">
        <v>6900</v>
      </c>
      <c r="E1326" s="523">
        <f>SUMIFS('Accounting data'!$G$2:$G$37002,'Accounting data'!$I$2:$I$37002,"7*",'Accounting data'!$J$2:$J$37002,"33*",'Accounting data'!$K$2:$K$37002,"69*")+SUMIFS('Accounting data'!$G$2:$G$37002,'Accounting data'!$I$2:$I$37002,"8*",'Accounting data'!$J$2:$J$37002,"33*",'Accounting data'!$K$2:$K$37002,"69*")+SUMIFS('Accounting data'!$G$2:$G$37002,'Accounting data'!$I$2:$I$37002,"9*",'Accounting data'!$J$2:$J$37002,"33*",'Accounting data'!$K$2:$K$37002,"69*")</f>
        <v>0</v>
      </c>
    </row>
    <row r="1327" spans="1:5" x14ac:dyDescent="0.2">
      <c r="A1327" s="522" t="s">
        <v>990</v>
      </c>
      <c r="B1327" s="522" t="s">
        <v>992</v>
      </c>
      <c r="C1327" s="522">
        <v>3300</v>
      </c>
      <c r="D1327" s="531">
        <v>6700</v>
      </c>
      <c r="E1327" s="523">
        <f>SUMIFS('Accounting data'!$G$2:$G$37002,'Accounting data'!$I$2:$I$37002,"7*",'Accounting data'!$J$2:$J$37002,"33*",'Accounting data'!$K$2:$K$37002,"67*")+SUMIFS('Accounting data'!$G$2:$G$37002,'Accounting data'!$I$2:$I$37002,"8*",'Accounting data'!$J$2:$J$37002,"33*",'Accounting data'!$K$2:$K$37002,"67*")+SUMIFS('Accounting data'!$G$2:$G$37002,'Accounting data'!$I$2:$I$37002,"9*",'Accounting data'!$J$2:$J$37002,"33*",'Accounting data'!$K$2:$K$37002,"67*")</f>
        <v>0</v>
      </c>
    </row>
    <row r="1328" spans="1:5" x14ac:dyDescent="0.2">
      <c r="A1328" s="524" t="s">
        <v>991</v>
      </c>
      <c r="B1328" s="522" t="s">
        <v>992</v>
      </c>
      <c r="C1328" s="522">
        <v>3300</v>
      </c>
      <c r="D1328" s="522">
        <v>6000</v>
      </c>
      <c r="E1328" s="523">
        <f>SUMIFS('Accounting data'!$G$2:$G$37002,'Accounting data'!$H$2:$H$37002,"9999*",'Accounting data'!$I$2:$I$37002,"7*",'Accounting data'!$J$2:$J$37002,"33*",'Accounting data'!$K$2:$K$37002,"6*")+SUMIFS('Accounting data'!$G$2:$G$37002,'Accounting data'!$H$2:$H$37002,"9999*",'Accounting data'!$I$2:$I$37002,"8*",'Accounting data'!$J$2:$J$37002,"33*",'Accounting data'!$K$2:$K$37002,"6*")+SUMIFS('Accounting data'!$G$2:$G$37002,'Accounting data'!$H$2:$H$37002,"9999*",'Accounting data'!$I$2:$I$37002,"9*",'Accounting data'!$J$2:$J$37002,"33*",'Accounting data'!$K$2:$K$37002,"6*")</f>
        <v>0</v>
      </c>
    </row>
    <row r="1330" spans="1:5" x14ac:dyDescent="0.2">
      <c r="A1330" s="524" t="s">
        <v>991</v>
      </c>
      <c r="B1330" s="522" t="s">
        <v>992</v>
      </c>
      <c r="C1330" s="522">
        <v>3300</v>
      </c>
      <c r="D1330" s="522">
        <v>6900</v>
      </c>
      <c r="E1330" s="523">
        <f>SUMIFS('Accounting data'!$G$2:$G$37002,'Accounting data'!$H$2:$H$37002,"9999*",'Accounting data'!$I$2:$I$37002,"7*",'Accounting data'!$J$2:$J$37002,"33*",'Accounting data'!$K$2:$K$37002,"69*")+SUMIFS('Accounting data'!$G$2:$G$37002,'Accounting data'!$H$2:$H$37002,"9999*",'Accounting data'!$I$2:$I$37002,"8*",'Accounting data'!$J$2:$J$37002,"33*",'Accounting data'!$K$2:$K$37002,"69*")+SUMIFS('Accounting data'!$G$2:$G$37002,'Accounting data'!$H$2:$H$37002,"9999*",'Accounting data'!$I$2:$I$37002,"9*",'Accounting data'!$J$2:$J$37002,"33*",'Accounting data'!$K$2:$K$37002,"69*")</f>
        <v>0</v>
      </c>
    </row>
    <row r="1331" spans="1:5" x14ac:dyDescent="0.2">
      <c r="A1331" s="522"/>
      <c r="B1331" s="522"/>
      <c r="C1331" s="522"/>
      <c r="D1331" s="522"/>
      <c r="E1331" s="523"/>
    </row>
    <row r="1332" spans="1:5" x14ac:dyDescent="0.2">
      <c r="A1332" s="524" t="s">
        <v>991</v>
      </c>
      <c r="B1332" s="522" t="s">
        <v>992</v>
      </c>
      <c r="C1332" s="522">
        <v>3300</v>
      </c>
      <c r="D1332" s="531">
        <v>6700</v>
      </c>
      <c r="E1332" s="523">
        <f>SUMIFS('Accounting data'!$G$2:$G$37002,'Accounting data'!$H$2:$H$37002,"9999*",'Accounting data'!$I$2:$I$37002,"7*",'Accounting data'!$J$2:$J$37002,"33*",'Accounting data'!$K$2:$K$37002,"67*")+SUMIFS('Accounting data'!$G$2:$G$37002,'Accounting data'!$H$2:$H$37002,"9999*",'Accounting data'!$I$2:$I$37002,"8*",'Accounting data'!$J$2:$J$37002,"33*",'Accounting data'!$K$2:$K$37002,"67*")+SUMIFS('Accounting data'!$G$2:$G$37002,'Accounting data'!$H$2:$H$37002,"9999*",'Accounting data'!$I$2:$I$37002,"9*",'Accounting data'!$J$2:$J$37002,"33*",'Accounting data'!$K$2:$K$37002,"67*")</f>
        <v>0</v>
      </c>
    </row>
    <row r="1333" spans="1:5" x14ac:dyDescent="0.2">
      <c r="A1333" s="524"/>
      <c r="B1333" s="522"/>
      <c r="C1333" s="522"/>
      <c r="D1333" s="531"/>
      <c r="E1333" s="523"/>
    </row>
    <row r="1334" spans="1:5" x14ac:dyDescent="0.2">
      <c r="A1334" s="524"/>
      <c r="B1334" s="522"/>
      <c r="C1334" s="522"/>
      <c r="D1334" s="531"/>
      <c r="E1334" s="523"/>
    </row>
    <row r="1335" spans="1:5" x14ac:dyDescent="0.2">
      <c r="A1335" s="525" t="s">
        <v>1096</v>
      </c>
      <c r="B1335" s="525"/>
      <c r="C1335" s="525"/>
      <c r="D1335" s="525"/>
      <c r="E1335" s="527">
        <f>(E1325-E1326-E1327)-((E1328+E1329)-(E1330+E1331))-(E1332+E1333+E1334)</f>
        <v>0</v>
      </c>
    </row>
    <row r="1336" spans="1:5" x14ac:dyDescent="0.2">
      <c r="A1336" s="522" t="s">
        <v>990</v>
      </c>
      <c r="B1336" s="522" t="s">
        <v>992</v>
      </c>
      <c r="C1336" s="522">
        <v>3400</v>
      </c>
      <c r="D1336" s="522">
        <v>6000</v>
      </c>
      <c r="E1336" s="523">
        <f>SUMIFS('Accounting data'!$G$2:$G$37002,'Accounting data'!$I$2:$I$37002,"7*",'Accounting data'!$J$2:$J$37002,"34*",'Accounting data'!$K$2:$K$37002,"6*")+SUMIFS('Accounting data'!$G$2:$G$37002,'Accounting data'!$I$2:$I$37002,"8*",'Accounting data'!$J$2:$J$37002,"34*",'Accounting data'!$K$2:$K$37002,"6*")+SUMIFS('Accounting data'!$G$2:$G$37002,'Accounting data'!$I$2:$I$37002,"9*",'Accounting data'!$J$2:$J$37002,"34*",'Accounting data'!$K$2:$K$37002,"6*")</f>
        <v>0</v>
      </c>
    </row>
    <row r="1337" spans="1:5" x14ac:dyDescent="0.2">
      <c r="A1337" s="522" t="s">
        <v>990</v>
      </c>
      <c r="B1337" s="522" t="s">
        <v>992</v>
      </c>
      <c r="C1337" s="522">
        <v>3400</v>
      </c>
      <c r="D1337" s="522">
        <v>6900</v>
      </c>
      <c r="E1337" s="523">
        <f>SUMIFS('Accounting data'!$G$2:$G$37002,'Accounting data'!$I$2:$I$37002,"7*",'Accounting data'!$J$2:$J$37002,"34*",'Accounting data'!$K$2:$K$37002,"69*")+SUMIFS('Accounting data'!$G$2:$G$37002,'Accounting data'!$I$2:$I$37002,"8*",'Accounting data'!$J$2:$J$37002,"34*",'Accounting data'!$K$2:$K$37002,"69*")+SUMIFS('Accounting data'!$G$2:$G$37002,'Accounting data'!$I$2:$I$37002,"9*",'Accounting data'!$J$2:$J$37002,"34*",'Accounting data'!$K$2:$K$37002,"69*")</f>
        <v>0</v>
      </c>
    </row>
    <row r="1338" spans="1:5" x14ac:dyDescent="0.2">
      <c r="A1338" s="522" t="s">
        <v>990</v>
      </c>
      <c r="B1338" s="522" t="s">
        <v>992</v>
      </c>
      <c r="C1338" s="522">
        <v>3400</v>
      </c>
      <c r="D1338" s="531">
        <v>6700</v>
      </c>
      <c r="E1338" s="523">
        <f>SUMIFS('Accounting data'!$G$2:$G$37002,'Accounting data'!$I$2:$I$37002,"7*",'Accounting data'!$J$2:$J$37002,"34*",'Accounting data'!$K$2:$K$37002,"67*")+SUMIFS('Accounting data'!$G$2:$G$37002,'Accounting data'!$I$2:$I$37002,"8*",'Accounting data'!$J$2:$J$37002,"34*",'Accounting data'!$K$2:$K$37002,"67*")+SUMIFS('Accounting data'!$G$2:$G$37002,'Accounting data'!$I$2:$I$37002,"9*",'Accounting data'!$J$2:$J$37002,"34*",'Accounting data'!$K$2:$K$37002,"67*")</f>
        <v>0</v>
      </c>
    </row>
    <row r="1339" spans="1:5" x14ac:dyDescent="0.2">
      <c r="A1339" s="524" t="s">
        <v>991</v>
      </c>
      <c r="B1339" s="522" t="s">
        <v>992</v>
      </c>
      <c r="C1339" s="522">
        <v>3400</v>
      </c>
      <c r="D1339" s="522">
        <v>6000</v>
      </c>
      <c r="E1339" s="523">
        <f>SUMIFS('Accounting data'!$G$2:$G$37002,'Accounting data'!$H$2:$H$37002,"9999*",'Accounting data'!$I$2:$I$37002,"7*",'Accounting data'!$J$2:$J$37002,"34*",'Accounting data'!$K$2:$K$37002,"6*")+SUMIFS('Accounting data'!$G$2:$G$37002,'Accounting data'!$H$2:$H$37002,"9999*",'Accounting data'!$I$2:$I$37002,"8*",'Accounting data'!$J$2:$J$37002,"34*",'Accounting data'!$K$2:$K$37002,"6*")+SUMIFS('Accounting data'!$G$2:$G$37002,'Accounting data'!$H$2:$H$37002,"9999*",'Accounting data'!$I$2:$I$37002,"9*",'Accounting data'!$J$2:$J$37002,"34*",'Accounting data'!$K$2:$K$37002,"6*")</f>
        <v>0</v>
      </c>
    </row>
    <row r="1340" spans="1:5" x14ac:dyDescent="0.2">
      <c r="A1340" s="522"/>
      <c r="B1340" s="522"/>
      <c r="C1340" s="522"/>
      <c r="D1340" s="522"/>
      <c r="E1340" s="523"/>
    </row>
    <row r="1341" spans="1:5" x14ac:dyDescent="0.2">
      <c r="A1341" s="524" t="s">
        <v>991</v>
      </c>
      <c r="B1341" s="522" t="s">
        <v>992</v>
      </c>
      <c r="C1341" s="522">
        <v>3400</v>
      </c>
      <c r="D1341" s="522">
        <v>6900</v>
      </c>
      <c r="E1341" s="523">
        <f>SUMIFS('Accounting data'!$G$2:$G$37002,'Accounting data'!$H$2:$H$37002,"9999*",'Accounting data'!$I$2:$I$37002,"7*",'Accounting data'!$J$2:$J$37002,"34*",'Accounting data'!$K$2:$K$37002,"69*")+SUMIFS('Accounting data'!$G$2:$G$37002,'Accounting data'!$H$2:$H$37002,"9999*",'Accounting data'!$I$2:$I$37002,"8*",'Accounting data'!$J$2:$J$37002,"34*",'Accounting data'!$K$2:$K$37002,"69*")+SUMIFS('Accounting data'!$G$2:$G$37002,'Accounting data'!$H$2:$H$37002,"9999*",'Accounting data'!$I$2:$I$37002,"9*",'Accounting data'!$J$2:$J$37002,"34*",'Accounting data'!$K$2:$K$37002,"69*")</f>
        <v>0</v>
      </c>
    </row>
    <row r="1342" spans="1:5" x14ac:dyDescent="0.2">
      <c r="A1342" s="522"/>
      <c r="B1342" s="522"/>
      <c r="C1342" s="522"/>
      <c r="D1342" s="522"/>
      <c r="E1342" s="523"/>
    </row>
    <row r="1343" spans="1:5" x14ac:dyDescent="0.2">
      <c r="A1343" s="524" t="s">
        <v>991</v>
      </c>
      <c r="B1343" s="522" t="s">
        <v>992</v>
      </c>
      <c r="C1343" s="522">
        <v>3400</v>
      </c>
      <c r="D1343" s="531">
        <v>6700</v>
      </c>
      <c r="E1343" s="523">
        <f>SUMIFS('Accounting data'!$G$2:$G$37002,'Accounting data'!$H$2:$H$37002,"9999*",'Accounting data'!$I$2:$I$37002,"7*",'Accounting data'!$J$2:$J$37002,"34*",'Accounting data'!$K$2:$K$37002,"67*")+SUMIFS('Accounting data'!$G$2:$G$37002,'Accounting data'!$H$2:$H$37002,"9999*",'Accounting data'!$I$2:$I$37002,"8*",'Accounting data'!$J$2:$J$37002,"34*",'Accounting data'!$K$2:$K$37002,"67*")+SUMIFS('Accounting data'!$G$2:$G$37002,'Accounting data'!$H$2:$H$37002,"9999*",'Accounting data'!$I$2:$I$37002,"9*",'Accounting data'!$J$2:$J$37002,"34*",'Accounting data'!$K$2:$K$37002,"67*")</f>
        <v>0</v>
      </c>
    </row>
    <row r="1346" spans="1:5" x14ac:dyDescent="0.2">
      <c r="A1346" s="525" t="s">
        <v>1097</v>
      </c>
      <c r="B1346" s="525"/>
      <c r="C1346" s="525"/>
      <c r="D1346" s="525"/>
      <c r="E1346" s="527">
        <f>(E1336-E1337-E1338)-((E1339+E1340)-(E1341+E1342))-(E1343+E1344+E1345)</f>
        <v>0</v>
      </c>
    </row>
    <row r="1347" spans="1:5" x14ac:dyDescent="0.2">
      <c r="A1347" s="522" t="s">
        <v>990</v>
      </c>
      <c r="B1347" s="522" t="s">
        <v>992</v>
      </c>
      <c r="C1347" s="522">
        <v>4000</v>
      </c>
      <c r="D1347" s="522">
        <v>6000</v>
      </c>
      <c r="E1347" s="523">
        <f>SUMIFS('Accounting data'!$G$2:$G$37002,'Accounting data'!$I$2:$I$37002,"7*",'Accounting data'!$J$2:$J$37002,"4*",'Accounting data'!$K$2:$K$37002,"6*")+SUMIFS('Accounting data'!$G$2:$G$37002,'Accounting data'!$I$2:$I$37002,"8*",'Accounting data'!$J$2:$J$37002,"4*",'Accounting data'!$K$2:$K$37002,"6*")+SUMIFS('Accounting data'!$G$2:$G$37002,'Accounting data'!$I$2:$I$37002,"9*",'Accounting data'!$J$2:$J$37002,"4*",'Accounting data'!$K$2:$K$37002,"6*")</f>
        <v>0</v>
      </c>
    </row>
    <row r="1348" spans="1:5" x14ac:dyDescent="0.2">
      <c r="A1348" s="522" t="s">
        <v>990</v>
      </c>
      <c r="B1348" s="522" t="s">
        <v>992</v>
      </c>
      <c r="C1348" s="522">
        <v>4000</v>
      </c>
      <c r="D1348" s="522">
        <v>6900</v>
      </c>
      <c r="E1348" s="523">
        <f>SUMIFS('Accounting data'!$G$2:$G$37002,'Accounting data'!$I$2:$I$37002,"7*",'Accounting data'!$J$2:$J$37002,"4*",'Accounting data'!$K$2:$K$37002,"69*")+SUMIFS('Accounting data'!$G$2:$G$37002,'Accounting data'!$I$2:$I$37002,"8*",'Accounting data'!$J$2:$J$37002,"4*",'Accounting data'!$K$2:$K$37002,"69*")+SUMIFS('Accounting data'!$G$2:$G$37002,'Accounting data'!$I$2:$I$37002,"9*",'Accounting data'!$J$2:$J$37002,"4*",'Accounting data'!$K$2:$K$37002,"69*")</f>
        <v>0</v>
      </c>
    </row>
    <row r="1349" spans="1:5" x14ac:dyDescent="0.2">
      <c r="A1349" s="522" t="s">
        <v>990</v>
      </c>
      <c r="B1349" s="522" t="s">
        <v>992</v>
      </c>
      <c r="C1349" s="522">
        <v>4000</v>
      </c>
      <c r="D1349" s="531">
        <v>6700</v>
      </c>
      <c r="E1349" s="523">
        <f>SUMIFS('Accounting data'!$G$2:$G$37002,'Accounting data'!$I$2:$I$37002,"7*",'Accounting data'!$J$2:$J$37002,"4*",'Accounting data'!$K$2:$K$37002,"67*")+SUMIFS('Accounting data'!$G$2:$G$37002,'Accounting data'!$I$2:$I$37002,"8*",'Accounting data'!$J$2:$J$37002,"4*",'Accounting data'!$K$2:$K$37002,"67*")+SUMIFS('Accounting data'!$G$2:$G$37002,'Accounting data'!$I$2:$I$37002,"9*",'Accounting data'!$J$2:$J$37002,"4*",'Accounting data'!$K$2:$K$37002,"67*")</f>
        <v>0</v>
      </c>
    </row>
    <row r="1350" spans="1:5" x14ac:dyDescent="0.2">
      <c r="A1350" s="524" t="s">
        <v>991</v>
      </c>
      <c r="B1350" s="522" t="s">
        <v>992</v>
      </c>
      <c r="C1350" s="522">
        <v>4000</v>
      </c>
      <c r="D1350" s="522">
        <v>6000</v>
      </c>
      <c r="E1350" s="523">
        <f>SUMIFS('Accounting data'!$G$2:$G$37002,'Accounting data'!$H$2:$H$37002,"9999*",'Accounting data'!$I$2:$I$37002,"7*",'Accounting data'!$J$2:$J$37002,"4*",'Accounting data'!$K$2:$K$37002,"6*")+SUMIFS('Accounting data'!$G$2:$G$37002,'Accounting data'!$H$2:$H$37002,"9999*",'Accounting data'!$I$2:$I$37002,"8*",'Accounting data'!$J$2:$J$37002,"4*",'Accounting data'!$K$2:$K$37002,"6*")+SUMIFS('Accounting data'!$G$2:$G$37002,'Accounting data'!$H$2:$H$37002,"9999*",'Accounting data'!$I$2:$I$37002,"9*",'Accounting data'!$J$2:$J$37002,"4*",'Accounting data'!$K$2:$K$37002,"6*")</f>
        <v>0</v>
      </c>
    </row>
    <row r="1351" spans="1:5" x14ac:dyDescent="0.2">
      <c r="A1351" s="522"/>
      <c r="B1351" s="522"/>
      <c r="C1351" s="522"/>
      <c r="D1351" s="522"/>
      <c r="E1351" s="523"/>
    </row>
    <row r="1352" spans="1:5" x14ac:dyDescent="0.2">
      <c r="A1352" s="524" t="s">
        <v>991</v>
      </c>
      <c r="B1352" s="522" t="s">
        <v>992</v>
      </c>
      <c r="C1352" s="522">
        <v>4000</v>
      </c>
      <c r="D1352" s="522">
        <v>6900</v>
      </c>
      <c r="E1352" s="523">
        <f>SUMIFS('Accounting data'!$G$2:$G$37002,'Accounting data'!$H$2:$H$37002,"9999*",'Accounting data'!$I$2:$I$37002,"7*",'Accounting data'!$J$2:$J$37002,"4*",'Accounting data'!$K$2:$K$37002,"69*")+SUMIFS('Accounting data'!$G$2:$G$37002,'Accounting data'!$H$2:$H$37002,"9999*",'Accounting data'!$I$2:$I$37002,"8*",'Accounting data'!$J$2:$J$37002,"4*",'Accounting data'!$K$2:$K$37002,"69*")+SUMIFS('Accounting data'!$G$2:$G$37002,'Accounting data'!$H$2:$H$37002,"9999*",'Accounting data'!$I$2:$I$37002,"9*",'Accounting data'!$J$2:$J$37002,"4*",'Accounting data'!$K$2:$K$37002,"69*")</f>
        <v>0</v>
      </c>
    </row>
    <row r="1353" spans="1:5" x14ac:dyDescent="0.2">
      <c r="A1353" s="522"/>
      <c r="B1353" s="522"/>
      <c r="C1353" s="522"/>
      <c r="D1353" s="522"/>
      <c r="E1353" s="523"/>
    </row>
    <row r="1354" spans="1:5" x14ac:dyDescent="0.2">
      <c r="A1354" s="524" t="s">
        <v>991</v>
      </c>
      <c r="B1354" s="522" t="s">
        <v>992</v>
      </c>
      <c r="C1354" s="522">
        <v>4000</v>
      </c>
      <c r="D1354" s="531">
        <v>6700</v>
      </c>
      <c r="E1354" s="523">
        <f>SUMIFS('Accounting data'!$G$2:$G$37002,'Accounting data'!$H$2:$H$37002,"9999*",'Accounting data'!$I$2:$I$37002,"7*",'Accounting data'!$J$2:$J$37002,"4*",'Accounting data'!$K$2:$K$37002,"67*")+SUMIFS('Accounting data'!$G$2:$G$37002,'Accounting data'!$H$2:$H$37002,"9999*",'Accounting data'!$I$2:$I$37002,"8*",'Accounting data'!$J$2:$J$37002,"4*",'Accounting data'!$K$2:$K$37002,"67*")+SUMIFS('Accounting data'!$G$2:$G$37002,'Accounting data'!$H$2:$H$37002,"9999*",'Accounting data'!$I$2:$I$37002,"9*",'Accounting data'!$J$2:$J$37002,"4*",'Accounting data'!$K$2:$K$37002,"67*")</f>
        <v>0</v>
      </c>
    </row>
    <row r="1355" spans="1:5" x14ac:dyDescent="0.2">
      <c r="A1355" s="524"/>
      <c r="B1355" s="522"/>
      <c r="C1355" s="522"/>
      <c r="D1355" s="531"/>
      <c r="E1355" s="523"/>
    </row>
    <row r="1356" spans="1:5" x14ac:dyDescent="0.2">
      <c r="A1356" s="524"/>
      <c r="B1356" s="522"/>
      <c r="C1356" s="522"/>
      <c r="D1356" s="531"/>
      <c r="E1356" s="523"/>
    </row>
    <row r="1357" spans="1:5" x14ac:dyDescent="0.2">
      <c r="A1357" s="525" t="s">
        <v>1098</v>
      </c>
      <c r="B1357" s="525"/>
      <c r="C1357" s="525"/>
      <c r="D1357" s="525"/>
      <c r="E1357" s="527">
        <f>(E1347-E1348-E1349)-((E1350+E1351)-(E1352+E1353))-(E1354+E1355+E1356)</f>
        <v>0</v>
      </c>
    </row>
    <row r="1358" spans="1:5" x14ac:dyDescent="0.2">
      <c r="A1358" s="522" t="s">
        <v>990</v>
      </c>
      <c r="B1358" s="522" t="s">
        <v>992</v>
      </c>
      <c r="C1358" s="522">
        <v>5000</v>
      </c>
      <c r="D1358" s="522">
        <v>6000</v>
      </c>
      <c r="E1358" s="523">
        <f>SUMIFS('Accounting data'!$G$2:$G$37002,'Accounting data'!$I$2:$I$37002,"7*",'Accounting data'!$J$2:$J$37002,"5*",'Accounting data'!$K$2:$K$37002,"6*")+SUMIFS('Accounting data'!$G$2:$G$37002,'Accounting data'!$I$2:$I$37002,"8*",'Accounting data'!$J$2:$J$37002,"5*",'Accounting data'!$K$2:$K$37002,"6*")+SUMIFS('Accounting data'!$G$2:$G$37002,'Accounting data'!$I$2:$I$37002,"9*",'Accounting data'!$J$2:$J$37002,"5*",'Accounting data'!$K$2:$K$37002,"6*")</f>
        <v>0</v>
      </c>
    </row>
    <row r="1359" spans="1:5" x14ac:dyDescent="0.2">
      <c r="A1359" s="522" t="s">
        <v>990</v>
      </c>
      <c r="B1359" s="522" t="s">
        <v>992</v>
      </c>
      <c r="C1359" s="522">
        <v>5000</v>
      </c>
      <c r="D1359" s="522">
        <v>6900</v>
      </c>
      <c r="E1359" s="523">
        <f>SUMIFS('Accounting data'!$G$2:$G$37002,'Accounting data'!$I$2:$I$37002,"7*",'Accounting data'!$J$2:$J$37002,"5*",'Accounting data'!$K$2:$K$37002,"69*")+SUMIFS('Accounting data'!$G$2:$G$37002,'Accounting data'!$I$2:$I$37002,"8*",'Accounting data'!$J$2:$J$37002,"5*",'Accounting data'!$K$2:$K$37002,"69*")+SUMIFS('Accounting data'!$G$2:$G$37002,'Accounting data'!$I$2:$I$37002,"9*",'Accounting data'!$J$2:$J$37002,"5*",'Accounting data'!$K$2:$K$37002,"69*")</f>
        <v>0</v>
      </c>
    </row>
    <row r="1360" spans="1:5" x14ac:dyDescent="0.2">
      <c r="A1360" s="522" t="s">
        <v>990</v>
      </c>
      <c r="B1360" s="522" t="s">
        <v>992</v>
      </c>
      <c r="C1360" s="522">
        <v>5000</v>
      </c>
      <c r="D1360" s="531">
        <v>6700</v>
      </c>
      <c r="E1360" s="523">
        <f>SUMIFS('Accounting data'!$G$2:$G$37002,'Accounting data'!$I$2:$I$37002,"7*",'Accounting data'!$J$2:$J$37002,"5*",'Accounting data'!$K$2:$K$37002,"67*")+SUMIFS('Accounting data'!$G$2:$G$37002,'Accounting data'!$I$2:$I$37002,"8*",'Accounting data'!$J$2:$J$37002,"5*",'Accounting data'!$K$2:$K$37002,"67*")+SUMIFS('Accounting data'!$G$2:$G$37002,'Accounting data'!$I$2:$I$37002,"9*",'Accounting data'!$J$2:$J$37002,"5*",'Accounting data'!$K$2:$K$37002,"67*")</f>
        <v>0</v>
      </c>
    </row>
    <row r="1361" spans="1:5" x14ac:dyDescent="0.2">
      <c r="A1361" s="524" t="s">
        <v>991</v>
      </c>
      <c r="B1361" s="522" t="s">
        <v>992</v>
      </c>
      <c r="C1361" s="522">
        <v>5000</v>
      </c>
      <c r="D1361" s="522">
        <v>6000</v>
      </c>
      <c r="E1361" s="523">
        <f>SUMIFS('Accounting data'!$G$2:$G$37002,'Accounting data'!$H$2:$H$37002,"9999*",'Accounting data'!$I$2:$I$37002,"7*",'Accounting data'!$J$2:$J$37002,"5*",'Accounting data'!$K$2:$K$37002,"6*")+SUMIFS('Accounting data'!$G$2:$G$37002,'Accounting data'!$H$2:$H$37002,"9999*",'Accounting data'!$I$2:$I$37002,"8*",'Accounting data'!$J$2:$J$37002,"5*",'Accounting data'!$K$2:$K$37002,"6*")+SUMIFS('Accounting data'!$G$2:$G$37002,'Accounting data'!$H$2:$H$37002,"9999*",'Accounting data'!$I$2:$I$37002,"9*",'Accounting data'!$J$2:$J$37002,"5*",'Accounting data'!$K$2:$K$37002,"6*")</f>
        <v>0</v>
      </c>
    </row>
    <row r="1362" spans="1:5" x14ac:dyDescent="0.2">
      <c r="A1362" s="522"/>
      <c r="B1362" s="522"/>
      <c r="C1362" s="522"/>
      <c r="D1362" s="522"/>
      <c r="E1362" s="523"/>
    </row>
    <row r="1363" spans="1:5" x14ac:dyDescent="0.2">
      <c r="A1363" s="524" t="s">
        <v>991</v>
      </c>
      <c r="B1363" s="522" t="s">
        <v>992</v>
      </c>
      <c r="C1363" s="522">
        <v>5000</v>
      </c>
      <c r="D1363" s="522">
        <v>6900</v>
      </c>
      <c r="E1363" s="523">
        <f>SUMIFS('Accounting data'!$G$2:$G$37002,'Accounting data'!$H$2:$H$37002,"9999*",'Accounting data'!$I$2:$I$37002,"7*",'Accounting data'!$J$2:$J$37002,"5*",'Accounting data'!$K$2:$K$37002,"69*")+SUMIFS('Accounting data'!$G$2:$G$37002,'Accounting data'!$H$2:$H$37002,"9999*",'Accounting data'!$I$2:$I$37002,"8*",'Accounting data'!$J$2:$J$37002,"5*",'Accounting data'!$K$2:$K$37002,"69*")+SUMIFS('Accounting data'!$G$2:$G$37002,'Accounting data'!$H$2:$H$37002,"9999*",'Accounting data'!$I$2:$I$37002,"9*",'Accounting data'!$J$2:$J$37002,"5*",'Accounting data'!$K$2:$K$37002,"69*")</f>
        <v>0</v>
      </c>
    </row>
    <row r="1364" spans="1:5" x14ac:dyDescent="0.2">
      <c r="A1364" s="522"/>
      <c r="B1364" s="522"/>
      <c r="C1364" s="522"/>
      <c r="D1364" s="522"/>
      <c r="E1364" s="523"/>
    </row>
    <row r="1365" spans="1:5" x14ac:dyDescent="0.2">
      <c r="A1365" s="524" t="s">
        <v>991</v>
      </c>
      <c r="B1365" s="522" t="s">
        <v>992</v>
      </c>
      <c r="C1365" s="522">
        <v>5000</v>
      </c>
      <c r="D1365" s="531">
        <v>6700</v>
      </c>
      <c r="E1365" s="523">
        <f>SUMIFS('Accounting data'!$G$2:$G$37002,'Accounting data'!$H$2:$H$37002,"9999*",'Accounting data'!$I$2:$I$37002,"7*",'Accounting data'!$J$2:$J$37002,"5*",'Accounting data'!$K$2:$K$37002,"67*")+SUMIFS('Accounting data'!$G$2:$G$37002,'Accounting data'!$H$2:$H$37002,"9999*",'Accounting data'!$I$2:$I$37002,"8*",'Accounting data'!$J$2:$J$37002,"5*",'Accounting data'!$K$2:$K$37002,"67*")+SUMIFS('Accounting data'!$G$2:$G$37002,'Accounting data'!$H$2:$H$37002,"9999*",'Accounting data'!$I$2:$I$37002,"9*",'Accounting data'!$J$2:$J$37002,"5*",'Accounting data'!$K$2:$K$37002,"67*")</f>
        <v>0</v>
      </c>
    </row>
    <row r="1366" spans="1:5" x14ac:dyDescent="0.2">
      <c r="A1366" s="524"/>
      <c r="B1366" s="522"/>
      <c r="C1366" s="522"/>
      <c r="D1366" s="531"/>
      <c r="E1366" s="523"/>
    </row>
    <row r="1367" spans="1:5" x14ac:dyDescent="0.2">
      <c r="A1367" s="524"/>
      <c r="B1367" s="522"/>
      <c r="C1367" s="522"/>
      <c r="D1367" s="531"/>
      <c r="E1367" s="523"/>
    </row>
    <row r="1368" spans="1:5" x14ac:dyDescent="0.2">
      <c r="A1368" s="525" t="s">
        <v>1099</v>
      </c>
      <c r="B1368" s="525"/>
      <c r="C1368" s="525"/>
      <c r="D1368" s="525"/>
      <c r="E1368" s="527">
        <f>(E1358-E1359-E1360)-((E1361+E1362)-(E1363+E1364))-(E1365+E1366+E1367)</f>
        <v>0</v>
      </c>
    </row>
    <row r="1369" spans="1:5" x14ac:dyDescent="0.2">
      <c r="A1369" s="528" t="s">
        <v>1100</v>
      </c>
      <c r="B1369" s="528"/>
      <c r="C1369" s="528"/>
      <c r="D1369" s="528"/>
      <c r="E1369" s="532">
        <f>E1225+E1236+E1247+E1258+E1269+E1280+E1291+E1302+E1313+E1324+E1335+E1346</f>
        <v>0</v>
      </c>
    </row>
    <row r="1370" spans="1:5" x14ac:dyDescent="0.2">
      <c r="A1370" s="524" t="s">
        <v>1006</v>
      </c>
      <c r="B1370" s="524">
        <v>700</v>
      </c>
      <c r="C1370" s="531">
        <v>1000</v>
      </c>
      <c r="D1370" s="522">
        <v>6000</v>
      </c>
      <c r="E1370" s="523">
        <f>SUMIFS('Accounting data'!$G$2:$G$37002,'Accounting data'!$H$2:$H$37002,"11*",'Accounting data'!$I$2:$I$37002,"7*",'Accounting data'!$J$2:$J$37002,"1*",'Accounting data'!$K$2:$K$37002,"6*")+SUMIFS('Accounting data'!$G$2:$G$37002,'Accounting data'!$H$2:$H$37002,"12*",'Accounting data'!$I$2:$I$37002,"7*",'Accounting data'!$J$2:$J$37002,"1*",'Accounting data'!$K$2:$K$37002,"6*")+SUMIFS('Accounting data'!$G$2:$G$37002,'Accounting data'!$H$2:$H$37002,"13*",'Accounting data'!$I$2:$I$37002,"7*",'Accounting data'!$J$2:$J$37002,"1*",'Accounting data'!$K$2:$K$37002,"6*")</f>
        <v>0</v>
      </c>
    </row>
    <row r="1371" spans="1:5" x14ac:dyDescent="0.2">
      <c r="A1371" s="524" t="s">
        <v>1006</v>
      </c>
      <c r="B1371" s="524">
        <v>800</v>
      </c>
      <c r="C1371" s="531">
        <v>1000</v>
      </c>
      <c r="D1371" s="522">
        <v>6000</v>
      </c>
      <c r="E1371" s="523">
        <f>SUMIFS('Accounting data'!$G$2:$G$37002,'Accounting data'!$H$2:$H$37002,"11*",'Accounting data'!$I$2:$I$37002,"8*",'Accounting data'!$J$2:$J$37002,"1*",'Accounting data'!$K$2:$K$37002,"6*")+SUMIFS('Accounting data'!$G$2:$G$37002,'Accounting data'!$H$2:$H$37002,"12*",'Accounting data'!$I$2:$I$37002,"8*",'Accounting data'!$J$2:$J$37002,"1*",'Accounting data'!$K$2:$K$37002,"6*")+SUMIFS('Accounting data'!$G$2:$G$37002,'Accounting data'!$H$2:$H$37002,"13*",'Accounting data'!$I$2:$I$37002,"8*",'Accounting data'!$J$2:$J$37002,"1*",'Accounting data'!$K$2:$K$37002,"6*")</f>
        <v>0</v>
      </c>
    </row>
    <row r="1372" spans="1:5" x14ac:dyDescent="0.2">
      <c r="A1372" s="524" t="s">
        <v>1006</v>
      </c>
      <c r="B1372" s="524">
        <v>900</v>
      </c>
      <c r="C1372" s="531">
        <v>1000</v>
      </c>
      <c r="D1372" s="522">
        <v>6000</v>
      </c>
      <c r="E1372" s="523">
        <f>SUMIFS('Accounting data'!$G$2:$G$37002,'Accounting data'!$H$2:$H$37002,"11*",'Accounting data'!$I$2:$I$37002,"9*",'Accounting data'!$J$2:$J$37002,"1*",'Accounting data'!$K$2:$K$37002,"6*")+SUMIFS('Accounting data'!$G$2:$G$37002,'Accounting data'!$H$2:$H$37002,"12*",'Accounting data'!$I$2:$I$37002,"9*",'Accounting data'!$J$2:$J$37002,"1*",'Accounting data'!$K$2:$K$37002,"6*")+SUMIFS('Accounting data'!$G$2:$G$37002,'Accounting data'!$H$2:$H$37002,"13*",'Accounting data'!$I$2:$I$37002,"9*",'Accounting data'!$J$2:$J$37002,"1*",'Accounting data'!$K$2:$K$37002,"6*")</f>
        <v>0</v>
      </c>
    </row>
    <row r="1373" spans="1:5" x14ac:dyDescent="0.2">
      <c r="A1373" s="524" t="s">
        <v>1006</v>
      </c>
      <c r="B1373" s="524">
        <v>700</v>
      </c>
      <c r="C1373" s="531">
        <v>2000</v>
      </c>
      <c r="D1373" s="522">
        <v>6000</v>
      </c>
      <c r="E1373" s="523">
        <f>SUMIFS('Accounting data'!$G$2:$G$37002,'Accounting data'!$H$2:$H$37002,"11*",'Accounting data'!$I$2:$I$37002,"7*",'Accounting data'!$J$2:$J$37002,"2*",'Accounting data'!$K$2:$K$37002,"6*")+SUMIFS('Accounting data'!$G$2:$G$37002,'Accounting data'!$H$2:$H$37002,"12*",'Accounting data'!$I$2:$I$37002,"7*",'Accounting data'!$J$2:$J$37002,"2*",'Accounting data'!$K$2:$K$37002,"6*")+SUMIFS('Accounting data'!$G$2:$G$37002,'Accounting data'!$H$2:$H$37002,"13*",'Accounting data'!$I$2:$I$37002,"7*",'Accounting data'!$J$2:$J$37002,"2*",'Accounting data'!$K$2:$K$37002,"6*")</f>
        <v>0</v>
      </c>
    </row>
    <row r="1374" spans="1:5" x14ac:dyDescent="0.2">
      <c r="A1374" s="524" t="s">
        <v>1006</v>
      </c>
      <c r="B1374" s="524">
        <v>800</v>
      </c>
      <c r="C1374" s="531">
        <v>2000</v>
      </c>
      <c r="D1374" s="522">
        <v>6000</v>
      </c>
      <c r="E1374" s="523">
        <f>SUMIFS('Accounting data'!$G$2:$G$37002,'Accounting data'!$H$2:$H$37002,"11*",'Accounting data'!$I$2:$I$37002,"8*",'Accounting data'!$J$2:$J$37002,"2*",'Accounting data'!$K$2:$K$37002,"6*")+SUMIFS('Accounting data'!$G$2:$G$37002,'Accounting data'!$H$2:$H$37002,"12*",'Accounting data'!$I$2:$I$37002,"8*",'Accounting data'!$J$2:$J$37002,"2*",'Accounting data'!$K$2:$K$37002,"6*")+SUMIFS('Accounting data'!$G$2:$G$37002,'Accounting data'!$H$2:$H$37002,"13*",'Accounting data'!$I$2:$I$37002,"8*",'Accounting data'!$J$2:$J$37002,"2*",'Accounting data'!$K$2:$K$37002,"6*")</f>
        <v>0</v>
      </c>
    </row>
    <row r="1375" spans="1:5" x14ac:dyDescent="0.2">
      <c r="A1375" s="524" t="s">
        <v>1006</v>
      </c>
      <c r="B1375" s="524">
        <v>900</v>
      </c>
      <c r="C1375" s="531">
        <v>2000</v>
      </c>
      <c r="D1375" s="522">
        <v>6000</v>
      </c>
      <c r="E1375" s="523">
        <f>SUMIFS('Accounting data'!$G$2:$G$37002,'Accounting data'!$H$2:$H$37002,"11*",'Accounting data'!$I$2:$I$37002,"9*",'Accounting data'!$J$2:$J$37002,"2*",'Accounting data'!$K$2:$K$37002,"6*")+SUMIFS('Accounting data'!$G$2:$G$37002,'Accounting data'!$H$2:$H$37002,"12*",'Accounting data'!$I$2:$I$37002,"9*",'Accounting data'!$J$2:$J$37002,"2*",'Accounting data'!$K$2:$K$37002,"6*")+SUMIFS('Accounting data'!$G$2:$G$37002,'Accounting data'!$H$2:$H$37002,"13*",'Accounting data'!$I$2:$I$37002,"9*",'Accounting data'!$J$2:$J$37002,"2*",'Accounting data'!$K$2:$K$37002,"6*")</f>
        <v>0</v>
      </c>
    </row>
    <row r="1376" spans="1:5" x14ac:dyDescent="0.2">
      <c r="A1376" s="524" t="s">
        <v>1006</v>
      </c>
      <c r="B1376" s="524">
        <v>700</v>
      </c>
      <c r="C1376" s="531">
        <v>3000</v>
      </c>
      <c r="D1376" s="522">
        <v>6000</v>
      </c>
      <c r="E1376" s="523">
        <f>SUMIFS('Accounting data'!$G$2:$G$37002,'Accounting data'!$H$2:$H$37002,"11*",'Accounting data'!$I$2:$I$37002,"7*",'Accounting data'!$J$2:$J$37002,"3*",'Accounting data'!$K$2:$K$37002,"6*")+SUMIFS('Accounting data'!$G$2:$G$37002,'Accounting data'!$H$2:$H$37002,"12*",'Accounting data'!$I$2:$I$37002,"7*",'Accounting data'!$J$2:$J$37002,"3*",'Accounting data'!$K$2:$K$37002,"6*")+SUMIFS('Accounting data'!$G$2:$G$37002,'Accounting data'!$H$2:$H$37002,"13*",'Accounting data'!$I$2:$I$37002,"7*",'Accounting data'!$J$2:$J$37002,"3*",'Accounting data'!$K$2:$K$37002,"6*")</f>
        <v>0</v>
      </c>
    </row>
    <row r="1377" spans="1:5" x14ac:dyDescent="0.2">
      <c r="A1377" s="524" t="s">
        <v>1006</v>
      </c>
      <c r="B1377" s="524">
        <v>800</v>
      </c>
      <c r="C1377" s="531">
        <v>3000</v>
      </c>
      <c r="D1377" s="522">
        <v>6000</v>
      </c>
      <c r="E1377" s="523">
        <f>SUMIFS('Accounting data'!$G$2:$G$37002,'Accounting data'!$H$2:$H$37002,"11*",'Accounting data'!$I$2:$I$37002,"8*",'Accounting data'!$J$2:$J$37002,"3*",'Accounting data'!$K$2:$K$37002,"6*")+SUMIFS('Accounting data'!$G$2:$G$37002,'Accounting data'!$H$2:$H$37002,"12*",'Accounting data'!$I$2:$I$37002,"8*",'Accounting data'!$J$2:$J$37002,"3*",'Accounting data'!$K$2:$K$37002,"6*")+SUMIFS('Accounting data'!$G$2:$G$37002,'Accounting data'!$H$2:$H$37002,"13*",'Accounting data'!$I$2:$I$37002,"8*",'Accounting data'!$J$2:$J$37002,"3*",'Accounting data'!$K$2:$K$37002,"6*")</f>
        <v>0</v>
      </c>
    </row>
    <row r="1378" spans="1:5" x14ac:dyDescent="0.2">
      <c r="A1378" s="524" t="s">
        <v>1006</v>
      </c>
      <c r="B1378" s="524">
        <v>900</v>
      </c>
      <c r="C1378" s="531">
        <v>3000</v>
      </c>
      <c r="D1378" s="522">
        <v>6000</v>
      </c>
      <c r="E1378" s="523">
        <f>SUMIFS('Accounting data'!$G$2:$G$37002,'Accounting data'!$H$2:$H$37002,"11*",'Accounting data'!$I$2:$I$37002,"9*",'Accounting data'!$J$2:$J$37002,"3*",'Accounting data'!$K$2:$K$37002,"6*")+SUMIFS('Accounting data'!$G$2:$G$37002,'Accounting data'!$H$2:$H$37002,"12*",'Accounting data'!$I$2:$I$37002,"9*",'Accounting data'!$J$2:$J$37002,"3*",'Accounting data'!$K$2:$K$37002,"6*")+SUMIFS('Accounting data'!$G$2:$G$37002,'Accounting data'!$H$2:$H$37002,"13*",'Accounting data'!$I$2:$I$37002,"9*",'Accounting data'!$J$2:$J$37002,"3*",'Accounting data'!$K$2:$K$37002,"6*")</f>
        <v>0</v>
      </c>
    </row>
    <row r="1379" spans="1:5" x14ac:dyDescent="0.2">
      <c r="A1379" s="524" t="s">
        <v>1006</v>
      </c>
      <c r="B1379" s="524">
        <v>700</v>
      </c>
      <c r="C1379" s="531">
        <v>1000</v>
      </c>
      <c r="D1379" s="522">
        <v>6900</v>
      </c>
      <c r="E1379" s="523">
        <f>SUMIFS('Accounting data'!$G$2:$G$37002,'Accounting data'!$H$2:$H$37002,"11*",'Accounting data'!$I$2:$I$37002,"7*",'Accounting data'!$J$2:$J$37002,"1*",'Accounting data'!$K$2:$K$37002,"69*")+SUMIFS('Accounting data'!$G$2:$G$37002,'Accounting data'!$H$2:$H$37002,"12*",'Accounting data'!$I$2:$I$37002,"7*",'Accounting data'!$J$2:$J$37002,"1*",'Accounting data'!$K$2:$K$37002,"69*")+SUMIFS('Accounting data'!$G$2:$G$37002,'Accounting data'!$H$2:$H$37002,"13*",'Accounting data'!$I$2:$I$37002,"7*",'Accounting data'!$J$2:$J$37002,"1*",'Accounting data'!$K$2:$K$37002,"69*")</f>
        <v>0</v>
      </c>
    </row>
    <row r="1380" spans="1:5" x14ac:dyDescent="0.2">
      <c r="A1380" s="524" t="s">
        <v>1006</v>
      </c>
      <c r="B1380" s="524">
        <v>800</v>
      </c>
      <c r="C1380" s="531">
        <v>1000</v>
      </c>
      <c r="D1380" s="522">
        <v>6900</v>
      </c>
      <c r="E1380" s="523">
        <f>SUMIFS('Accounting data'!$G$2:$G$37002,'Accounting data'!$H$2:$H$37002,"11*",'Accounting data'!$I$2:$I$37002,"8*",'Accounting data'!$J$2:$J$37002,"1*",'Accounting data'!$K$2:$K$37002,"69*")+SUMIFS('Accounting data'!$G$2:$G$37002,'Accounting data'!$H$2:$H$37002,"12*",'Accounting data'!$I$2:$I$37002,"8*",'Accounting data'!$J$2:$J$37002,"1*",'Accounting data'!$K$2:$K$37002,"69*")+SUMIFS('Accounting data'!$G$2:$G$37002,'Accounting data'!$H$2:$H$37002,"13*",'Accounting data'!$I$2:$I$37002,"8*",'Accounting data'!$J$2:$J$37002,"1*",'Accounting data'!$K$2:$K$37002,"69*")</f>
        <v>0</v>
      </c>
    </row>
    <row r="1381" spans="1:5" x14ac:dyDescent="0.2">
      <c r="A1381" s="524" t="s">
        <v>1006</v>
      </c>
      <c r="B1381" s="524">
        <v>900</v>
      </c>
      <c r="C1381" s="531">
        <v>1000</v>
      </c>
      <c r="D1381" s="522">
        <v>6900</v>
      </c>
      <c r="E1381" s="523">
        <f>SUMIFS('Accounting data'!$G$2:$G$37002,'Accounting data'!$H$2:$H$37002,"11*",'Accounting data'!$I$2:$I$37002,"9*",'Accounting data'!$J$2:$J$37002,"1*",'Accounting data'!$K$2:$K$37002,"69*")+SUMIFS('Accounting data'!$G$2:$G$37002,'Accounting data'!$H$2:$H$37002,"12*",'Accounting data'!$I$2:$I$37002,"9*",'Accounting data'!$J$2:$J$37002,"1*",'Accounting data'!$K$2:$K$37002,"69*")+SUMIFS('Accounting data'!$G$2:$G$37002,'Accounting data'!$H$2:$H$37002,"13*",'Accounting data'!$I$2:$I$37002,"9*",'Accounting data'!$J$2:$J$37002,"1*",'Accounting data'!$K$2:$K$37002,"69*")</f>
        <v>0</v>
      </c>
    </row>
    <row r="1382" spans="1:5" x14ac:dyDescent="0.2">
      <c r="A1382" s="524" t="s">
        <v>1006</v>
      </c>
      <c r="B1382" s="524">
        <v>700</v>
      </c>
      <c r="C1382" s="531">
        <v>2000</v>
      </c>
      <c r="D1382" s="522">
        <v>6900</v>
      </c>
      <c r="E1382" s="523">
        <f>SUMIFS('Accounting data'!$G$2:$G$37002,'Accounting data'!$H$2:$H$37002,"11*",'Accounting data'!$I$2:$I$37002,"7*",'Accounting data'!$J$2:$J$37002,"2*",'Accounting data'!$K$2:$K$37002,"69*")+SUMIFS('Accounting data'!$G$2:$G$37002,'Accounting data'!$H$2:$H$37002,"12*",'Accounting data'!$I$2:$I$37002,"7*",'Accounting data'!$J$2:$J$37002,"2*",'Accounting data'!$K$2:$K$37002,"69*")+SUMIFS('Accounting data'!$G$2:$G$37002,'Accounting data'!$H$2:$H$37002,"13*",'Accounting data'!$I$2:$I$37002,"7*",'Accounting data'!$J$2:$J$37002,"2*",'Accounting data'!$K$2:$K$37002,"69*")</f>
        <v>0</v>
      </c>
    </row>
    <row r="1383" spans="1:5" x14ac:dyDescent="0.2">
      <c r="A1383" s="524" t="s">
        <v>1006</v>
      </c>
      <c r="B1383" s="524">
        <v>800</v>
      </c>
      <c r="C1383" s="531">
        <v>2000</v>
      </c>
      <c r="D1383" s="522">
        <v>6900</v>
      </c>
      <c r="E1383" s="523">
        <f>SUMIFS('Accounting data'!$G$2:$G$37002,'Accounting data'!$H$2:$H$37002,"11*",'Accounting data'!$I$2:$I$37002,"8*",'Accounting data'!$J$2:$J$37002,"2*",'Accounting data'!$K$2:$K$37002,"69*")+SUMIFS('Accounting data'!$G$2:$G$37002,'Accounting data'!$H$2:$H$37002,"12*",'Accounting data'!$I$2:$I$37002,"8*",'Accounting data'!$J$2:$J$37002,"2*",'Accounting data'!$K$2:$K$37002,"69*")+SUMIFS('Accounting data'!$G$2:$G$37002,'Accounting data'!$H$2:$H$37002,"13*",'Accounting data'!$I$2:$I$37002,"8*",'Accounting data'!$J$2:$J$37002,"2*",'Accounting data'!$K$2:$K$37002,"69*")</f>
        <v>0</v>
      </c>
    </row>
    <row r="1384" spans="1:5" x14ac:dyDescent="0.2">
      <c r="A1384" s="524" t="s">
        <v>1006</v>
      </c>
      <c r="B1384" s="524">
        <v>900</v>
      </c>
      <c r="C1384" s="531">
        <v>2000</v>
      </c>
      <c r="D1384" s="522">
        <v>6900</v>
      </c>
      <c r="E1384" s="523">
        <f>SUMIFS('Accounting data'!$G$2:$G$37002,'Accounting data'!$H$2:$H$37002,"11*",'Accounting data'!$I$2:$I$37002,"9*",'Accounting data'!$J$2:$J$37002,"2*",'Accounting data'!$K$2:$K$37002,"69*")+SUMIFS('Accounting data'!$G$2:$G$37002,'Accounting data'!$H$2:$H$37002,"12*",'Accounting data'!$I$2:$I$37002,"9*",'Accounting data'!$J$2:$J$37002,"2*",'Accounting data'!$K$2:$K$37002,"69*")+SUMIFS('Accounting data'!$G$2:$G$37002,'Accounting data'!$H$2:$H$37002,"13*",'Accounting data'!$I$2:$I$37002,"9*",'Accounting data'!$J$2:$J$37002,"2*",'Accounting data'!$K$2:$K$37002,"69*")</f>
        <v>0</v>
      </c>
    </row>
    <row r="1385" spans="1:5" x14ac:dyDescent="0.2">
      <c r="A1385" s="524" t="s">
        <v>1006</v>
      </c>
      <c r="B1385" s="524">
        <v>700</v>
      </c>
      <c r="C1385" s="531">
        <v>3000</v>
      </c>
      <c r="D1385" s="522">
        <v>6900</v>
      </c>
      <c r="E1385" s="523">
        <f>SUMIFS('Accounting data'!$G$2:$G$37002,'Accounting data'!$H$2:$H$37002,"11*",'Accounting data'!$I$2:$I$37002,"7*",'Accounting data'!$J$2:$J$37002,"3*",'Accounting data'!$K$2:$K$37002,"69*")+SUMIFS('Accounting data'!$G$2:$G$37002,'Accounting data'!$H$2:$H$37002,"12*",'Accounting data'!$I$2:$I$37002,"7*",'Accounting data'!$J$2:$J$37002,"3*",'Accounting data'!$K$2:$K$37002,"69*")+SUMIFS('Accounting data'!$G$2:$G$37002,'Accounting data'!$H$2:$H$37002,"13*",'Accounting data'!$I$2:$I$37002,"7*",'Accounting data'!$J$2:$J$37002,"3*",'Accounting data'!$K$2:$K$37002,"69*")</f>
        <v>0</v>
      </c>
    </row>
    <row r="1386" spans="1:5" x14ac:dyDescent="0.2">
      <c r="A1386" s="524" t="s">
        <v>1006</v>
      </c>
      <c r="B1386" s="524">
        <v>800</v>
      </c>
      <c r="C1386" s="531">
        <v>3000</v>
      </c>
      <c r="D1386" s="522">
        <v>6900</v>
      </c>
      <c r="E1386" s="523">
        <f>SUMIFS('Accounting data'!$G$2:$G$37002,'Accounting data'!$H$2:$H$37002,"11*",'Accounting data'!$I$2:$I$37002,"8*",'Accounting data'!$J$2:$J$37002,"3*",'Accounting data'!$K$2:$K$37002,"69*")+SUMIFS('Accounting data'!$G$2:$G$37002,'Accounting data'!$H$2:$H$37002,"12*",'Accounting data'!$I$2:$I$37002,"8*",'Accounting data'!$J$2:$J$37002,"3*",'Accounting data'!$K$2:$K$37002,"69*")+SUMIFS('Accounting data'!$G$2:$G$37002,'Accounting data'!$H$2:$H$37002,"13*",'Accounting data'!$I$2:$I$37002,"8*",'Accounting data'!$J$2:$J$37002,"3*",'Accounting data'!$K$2:$K$37002,"69*")</f>
        <v>0</v>
      </c>
    </row>
    <row r="1387" spans="1:5" x14ac:dyDescent="0.2">
      <c r="A1387" s="524" t="s">
        <v>1006</v>
      </c>
      <c r="B1387" s="524">
        <v>900</v>
      </c>
      <c r="C1387" s="531">
        <v>3000</v>
      </c>
      <c r="D1387" s="522">
        <v>6900</v>
      </c>
      <c r="E1387" s="523">
        <f>SUMIFS('Accounting data'!$G$2:$G$37002,'Accounting data'!$H$2:$H$37002,"11*",'Accounting data'!$I$2:$I$37002,"9*",'Accounting data'!$J$2:$J$37002,"3*",'Accounting data'!$K$2:$K$37002,"69*")+SUMIFS('Accounting data'!$G$2:$G$37002,'Accounting data'!$H$2:$H$37002,"12*",'Accounting data'!$I$2:$I$37002,"9*",'Accounting data'!$J$2:$J$37002,"3*",'Accounting data'!$K$2:$K$37002,"69*")+SUMIFS('Accounting data'!$G$2:$G$37002,'Accounting data'!$H$2:$H$37002,"13*",'Accounting data'!$I$2:$I$37002,"9*",'Accounting data'!$J$2:$J$37002,"3*",'Accounting data'!$K$2:$K$37002,"69*")</f>
        <v>0</v>
      </c>
    </row>
    <row r="1388" spans="1:5" x14ac:dyDescent="0.2">
      <c r="A1388" s="525" t="s">
        <v>1101</v>
      </c>
      <c r="B1388" s="525"/>
      <c r="C1388" s="525"/>
      <c r="D1388" s="525"/>
      <c r="E1388" s="527">
        <f>(E1370+E1371+E1372+E1373+E1374+E1375+E1376+E1377+E1378)-(E1379+E1380+E1381+E1382+E1383+E1384+E1385+E1386+E1387)</f>
        <v>0</v>
      </c>
    </row>
    <row r="1437" spans="1:5" x14ac:dyDescent="0.2">
      <c r="A1437" s="522" t="s">
        <v>1102</v>
      </c>
      <c r="B1437" s="522" t="s">
        <v>990</v>
      </c>
      <c r="C1437" s="522" t="s">
        <v>990</v>
      </c>
      <c r="D1437" s="522">
        <v>6000</v>
      </c>
      <c r="E1437" s="523">
        <f>SUMIFS('Accounting data'!$G$2:$G$37002,'Accounting data'!$H$2:$H$37002,"9*",'Accounting data'!$K$2:$K$37002,"6*")+SUMIFS('Accounting data'!$G$2:$G$37002,'Accounting data'!$H$2:$H$37002,"9*",'Accounting data'!$K$2:$K$37002,"6*")+SUMIFS('Accounting data'!$G$2:$G$37002,'Accounting data'!$H$2:$H$37002,"9*",'Accounting data'!$K$2:$K$37002,"6*")+SUMIFS('Accounting data'!$G$2:$G$37002,'Accounting data'!$H$2:$H$37002,"9*",'Accounting data'!$K$2:$K$37002,"6*")+SUMIFS('Accounting data'!$G$2:$G$37002,'Accounting data'!$H$2:$H$37002,"9*",'Accounting data'!$K$2:$K$37002,"6*")</f>
        <v>0</v>
      </c>
    </row>
    <row r="1438" spans="1:5" x14ac:dyDescent="0.2">
      <c r="A1438" s="525" t="s">
        <v>1103</v>
      </c>
      <c r="B1438" s="525"/>
      <c r="C1438" s="525"/>
      <c r="D1438" s="525"/>
      <c r="E1438" s="527">
        <f>E1437</f>
        <v>0</v>
      </c>
    </row>
    <row r="1445" spans="1:5" x14ac:dyDescent="0.2">
      <c r="A1445" s="522" t="s">
        <v>990</v>
      </c>
      <c r="B1445" s="522" t="s">
        <v>990</v>
      </c>
      <c r="C1445" s="522">
        <v>5000</v>
      </c>
      <c r="D1445" s="522">
        <v>6850</v>
      </c>
      <c r="E1445" s="523">
        <f>SUMIFS('Accounting data'!$G$2:$G$37002,'Accounting data'!$J$2:$J$37002,"5*",'Accounting data'!$K$2:$K$37002,"685*")</f>
        <v>4791569</v>
      </c>
    </row>
    <row r="1446" spans="1:5" x14ac:dyDescent="0.2">
      <c r="A1446" s="522" t="s">
        <v>991</v>
      </c>
      <c r="B1446" s="522" t="s">
        <v>990</v>
      </c>
      <c r="C1446" s="522">
        <v>5000</v>
      </c>
      <c r="D1446" s="522">
        <v>6850</v>
      </c>
      <c r="E1446" s="523">
        <f>SUMIFS('Accounting data'!$G$2:$G$37002,'Accounting data'!$H$2:$H$37002,"9999*",'Accounting data'!$J$2:$J$37002,"5*",'Accounting data'!$K$2:$K$37002,"685*")</f>
        <v>0</v>
      </c>
    </row>
    <row r="1447" spans="1:5" x14ac:dyDescent="0.2">
      <c r="A1447" s="522" t="s">
        <v>990</v>
      </c>
      <c r="B1447" s="522" t="s">
        <v>992</v>
      </c>
      <c r="C1447" s="522">
        <v>5000</v>
      </c>
      <c r="D1447" s="522">
        <v>6850</v>
      </c>
      <c r="E1447" s="523">
        <f>SUMIFS('Accounting data'!$G$2:$G$37002,'Accounting data'!$I$2:$I$37002,"7*",'Accounting data'!$J$2:$J$37002,"5*",'Accounting data'!$K$2:$K$37002,"685*")+SUMIFS('Accounting data'!$G$2:$G$37002,'Accounting data'!$I$2:$I$37002,"8*",'Accounting data'!$J$2:$J$37002,"5*",'Accounting data'!$K$2:$K$37002,"685*")+SUMIFS('Accounting data'!$G$2:$G$37002,'Accounting data'!$I$2:$I$37002,"9*",'Accounting data'!$J$2:$J$37002,"5*",'Accounting data'!$K$2:$K$37002,"685*")</f>
        <v>0</v>
      </c>
    </row>
    <row r="1448" spans="1:5" x14ac:dyDescent="0.2">
      <c r="A1448" s="524" t="s">
        <v>991</v>
      </c>
      <c r="B1448" s="522" t="s">
        <v>992</v>
      </c>
      <c r="C1448" s="522">
        <v>5000</v>
      </c>
      <c r="D1448" s="522">
        <v>6850</v>
      </c>
      <c r="E1448" s="523">
        <f>SUMIFS('Accounting data'!$G$2:$G$37002,'Accounting data'!$H$2:$H$37002,"9999*",'Accounting data'!$I$2:$I$37002,"7*",'Accounting data'!$J$2:$J$37002,"5*",'Accounting data'!$K$2:$K$37002,"685*")+SUMIFS('Accounting data'!$G$2:$G$37002,'Accounting data'!$H$2:$H$37002,"9999*",'Accounting data'!$I$2:$I$37002,"8*",'Accounting data'!$J$2:$J$37002,"5*",'Accounting data'!$K$2:$K$37002,"685*")+SUMIFS('Accounting data'!$G$2:$G$37002,'Accounting data'!$H$2:$H$37002,"9999*",'Accounting data'!$I$2:$I$37002,"9*",'Accounting data'!$J$2:$J$37002,"5*",'Accounting data'!$K$2:$K$37002,"685*")</f>
        <v>0</v>
      </c>
    </row>
    <row r="1449" spans="1:5" ht="15" x14ac:dyDescent="0.25">
      <c r="A1449" s="525" t="s">
        <v>1104</v>
      </c>
      <c r="B1449" s="525"/>
      <c r="C1449" s="525"/>
      <c r="D1449" s="525"/>
      <c r="E1449" s="526">
        <f>(E1445-E1446-E1447)+E1448</f>
        <v>4791569</v>
      </c>
    </row>
    <row r="1450" spans="1:5" x14ac:dyDescent="0.2">
      <c r="A1450" s="522" t="s">
        <v>990</v>
      </c>
      <c r="B1450" s="522" t="s">
        <v>990</v>
      </c>
      <c r="C1450" s="522">
        <v>1000</v>
      </c>
      <c r="D1450" s="522">
        <v>6800</v>
      </c>
      <c r="E1450" s="523">
        <f t="array" ref="E1450">SUMIFS('Accounting data'!$G$2:$G$37002,'Accounting data'!$J$2:$J$37002,"1*",'Accounting data'!$K$2:$K$37002,"68*")</f>
        <v>327149</v>
      </c>
    </row>
    <row r="1451" spans="1:5" x14ac:dyDescent="0.2">
      <c r="A1451" s="522" t="s">
        <v>991</v>
      </c>
      <c r="B1451" s="522" t="s">
        <v>990</v>
      </c>
      <c r="C1451" s="522">
        <v>1000</v>
      </c>
      <c r="D1451" s="522">
        <v>6800</v>
      </c>
      <c r="E1451" s="523">
        <f t="array" ref="E1451">SUMIFS('Accounting data'!$G$2:$G$37002,'Accounting data'!$H$2:$H$37002,"9999*",'Accounting data'!$J$2:$J$37002,"1*",'Accounting data'!$K$2:$K$37002,"68*")</f>
        <v>0</v>
      </c>
    </row>
    <row r="1452" spans="1:5" x14ac:dyDescent="0.2">
      <c r="A1452" s="522" t="s">
        <v>990</v>
      </c>
      <c r="B1452" s="522" t="s">
        <v>992</v>
      </c>
      <c r="C1452" s="522">
        <v>1000</v>
      </c>
      <c r="D1452" s="522">
        <v>6800</v>
      </c>
      <c r="E1452" s="523">
        <f t="array" ref="E1452">SUMIFS('Accounting data'!$G$2:$G$37002,'Accounting data'!$I$2:$I$37002,"7*",'Accounting data'!$J$2:$J$37002,"1*",'Accounting data'!$K$2:$K$37002,"68*")+SUMIFS('Accounting data'!$G$2:$G$37002,'Accounting data'!$I$2:$I$37002,"8*",'Accounting data'!$J$2:$J$37002,"1*",'Accounting data'!$K$2:$K$37002,"68*")+SUMIFS('Accounting data'!$G$2:$G$37002,'Accounting data'!$I$2:$I$37002,"9*",'Accounting data'!$J$2:$J$37002,"1*",'Accounting data'!$K$2:$K$37002,"68*")</f>
        <v>0</v>
      </c>
    </row>
    <row r="1453" spans="1:5" x14ac:dyDescent="0.2">
      <c r="A1453" s="524" t="s">
        <v>991</v>
      </c>
      <c r="B1453" s="522" t="s">
        <v>992</v>
      </c>
      <c r="C1453" s="522">
        <v>1000</v>
      </c>
      <c r="D1453" s="522">
        <v>6800</v>
      </c>
      <c r="E1453" s="523">
        <f t="array" ref="E1453">SUMIFS('Accounting data'!$G$2:$G$37002,'Accounting data'!$H$2:$H$37002,"9999*",'Accounting data'!$I$2:$I$37002,"7*",'Accounting data'!$J$2:$J$37002,"1*",'Accounting data'!$K$2:$K$37002,"68*")+SUMIFS('Accounting data'!$G$2:$G$37002,'Accounting data'!$H$2:$H$37002,"9999*",'Accounting data'!$I$2:$I$37002,"8*",'Accounting data'!$J$2:$J$37002,"1*",'Accounting data'!$K$2:$K$37002,"68*")+SUMIFS('Accounting data'!$G$2:$G$37002,'Accounting data'!$H$2:$H$37002,"9999*",'Accounting data'!$I$2:$I$37002,"9*",'Accounting data'!$J$2:$J$37002,"1*",'Accounting data'!$K$2:$K$37002,"68*")</f>
        <v>0</v>
      </c>
    </row>
    <row r="1454" spans="1:5" ht="15" x14ac:dyDescent="0.25">
      <c r="A1454" s="525" t="s">
        <v>1105</v>
      </c>
      <c r="B1454" s="525"/>
      <c r="C1454" s="525"/>
      <c r="D1454" s="525"/>
      <c r="E1454" s="526">
        <f>(E1450-E1451-E1452)+E1453</f>
        <v>327149</v>
      </c>
    </row>
    <row r="1455" spans="1:5" x14ac:dyDescent="0.2">
      <c r="A1455" s="522" t="s">
        <v>990</v>
      </c>
      <c r="B1455" s="522" t="s">
        <v>990</v>
      </c>
      <c r="C1455" s="522">
        <v>2100</v>
      </c>
      <c r="D1455" s="522">
        <v>6800</v>
      </c>
      <c r="E1455" s="523">
        <f t="array" ref="E1455">SUMIFS('Accounting data'!$G$2:$G$37002,'Accounting data'!$J$2:$J$37002,"21*",'Accounting data'!$K$2:$K$37002,"68*")</f>
        <v>0</v>
      </c>
    </row>
    <row r="1456" spans="1:5" x14ac:dyDescent="0.2">
      <c r="A1456" s="522" t="s">
        <v>991</v>
      </c>
      <c r="B1456" s="522" t="s">
        <v>990</v>
      </c>
      <c r="C1456" s="522">
        <v>2100</v>
      </c>
      <c r="D1456" s="522">
        <v>6800</v>
      </c>
      <c r="E1456" s="523">
        <f t="array" ref="E1456">SUMIFS('Accounting data'!$G$2:$G$37002,'Accounting data'!$H$2:$H$37002,"9999*",'Accounting data'!$J$2:$J$37002,"21*",'Accounting data'!$K$2:$K$37002,"68*")</f>
        <v>0</v>
      </c>
    </row>
    <row r="1457" spans="1:5" x14ac:dyDescent="0.2">
      <c r="A1457" s="522" t="s">
        <v>990</v>
      </c>
      <c r="B1457" s="522" t="s">
        <v>992</v>
      </c>
      <c r="C1457" s="522">
        <v>2100</v>
      </c>
      <c r="D1457" s="522">
        <v>6800</v>
      </c>
      <c r="E1457" s="523">
        <f t="array" ref="E1457">SUMIFS('Accounting data'!$G$2:$G$37002,'Accounting data'!$I$2:$I$37002,"7*",'Accounting data'!$J$2:$J$37002,"21*",'Accounting data'!$K$2:$K$37002,"68*")+SUMIFS('Accounting data'!$G$2:$G$37002,'Accounting data'!$I$2:$I$37002,"8*",'Accounting data'!$J$2:$J$37002,"21*",'Accounting data'!$K$2:$K$37002,"68*")+SUMIFS('Accounting data'!$G$2:$G$37002,'Accounting data'!$I$2:$I$37002,"9*",'Accounting data'!$J$2:$J$37002,"21*",'Accounting data'!$K$2:$K$37002,"68*")</f>
        <v>0</v>
      </c>
    </row>
    <row r="1458" spans="1:5" x14ac:dyDescent="0.2">
      <c r="A1458" s="524" t="s">
        <v>991</v>
      </c>
      <c r="B1458" s="522" t="s">
        <v>992</v>
      </c>
      <c r="C1458" s="522">
        <v>2100</v>
      </c>
      <c r="D1458" s="522">
        <v>6800</v>
      </c>
      <c r="E1458" s="523">
        <f t="array" ref="E1458">SUMIFS('Accounting data'!$G$2:$G$37002,'Accounting data'!$H$2:$H$37002,"9999*",'Accounting data'!$I$2:$I$37002,"7*",'Accounting data'!$J$2:$J$37002,"21*",'Accounting data'!$K$2:$K$37002,"68*")+SUMIFS('Accounting data'!$G$2:$G$37002,'Accounting data'!$H$2:$H$37002,"9999*",'Accounting data'!$I$2:$I$37002,"8*",'Accounting data'!$J$2:$J$37002,"21*",'Accounting data'!$K$2:$K$37002,"68*")+SUMIFS('Accounting data'!$G$2:$G$37002,'Accounting data'!$H$2:$H$37002,"9999*",'Accounting data'!$I$2:$I$37002,"9*",'Accounting data'!$J$2:$J$37002,"21*",'Accounting data'!$K$2:$K$37002,"68*")</f>
        <v>0</v>
      </c>
    </row>
    <row r="1459" spans="1:5" ht="15" x14ac:dyDescent="0.25">
      <c r="A1459" s="525" t="s">
        <v>1106</v>
      </c>
      <c r="B1459" s="525"/>
      <c r="C1459" s="525"/>
      <c r="D1459" s="525"/>
      <c r="E1459" s="526">
        <f>(E1455-E1456-E1457)+E1458</f>
        <v>0</v>
      </c>
    </row>
    <row r="1460" spans="1:5" x14ac:dyDescent="0.2">
      <c r="A1460" s="522" t="s">
        <v>990</v>
      </c>
      <c r="B1460" s="522" t="s">
        <v>990</v>
      </c>
      <c r="C1460" s="522">
        <v>2200</v>
      </c>
      <c r="D1460" s="522">
        <v>6800</v>
      </c>
      <c r="E1460" s="523">
        <f t="array" ref="E1460">SUMIFS('Accounting data'!$G$2:$G$37002,'Accounting data'!$J$2:$J$37002,"22*",'Accounting data'!$K$2:$K$37002,"68*")</f>
        <v>0</v>
      </c>
    </row>
    <row r="1461" spans="1:5" x14ac:dyDescent="0.2">
      <c r="A1461" s="522" t="s">
        <v>991</v>
      </c>
      <c r="B1461" s="522" t="s">
        <v>990</v>
      </c>
      <c r="C1461" s="522">
        <v>2200</v>
      </c>
      <c r="D1461" s="522">
        <v>6800</v>
      </c>
      <c r="E1461" s="523">
        <f t="array" ref="E1461">SUMIFS('Accounting data'!$G$2:$G$37002,'Accounting data'!$H$2:$H$37002,"9999*",'Accounting data'!$J$2:$J$37002,"22*",'Accounting data'!$K$2:$K$37002,"68*")</f>
        <v>0</v>
      </c>
    </row>
    <row r="1462" spans="1:5" x14ac:dyDescent="0.2">
      <c r="A1462" s="522" t="s">
        <v>990</v>
      </c>
      <c r="B1462" s="522" t="s">
        <v>992</v>
      </c>
      <c r="C1462" s="522">
        <v>2200</v>
      </c>
      <c r="D1462" s="522">
        <v>6800</v>
      </c>
      <c r="E1462" s="523">
        <f t="array" ref="E1462">SUMIFS('Accounting data'!$G$2:$G$37002,'Accounting data'!$I$2:$I$37002,"7*",'Accounting data'!$J$2:$J$37002,"22*",'Accounting data'!$K$2:$K$37002,"68*")+SUMIFS('Accounting data'!$G$2:$G$37002,'Accounting data'!$I$2:$I$37002,"8*",'Accounting data'!$J$2:$J$37002,"22*",'Accounting data'!$K$2:$K$37002,"68*")+SUMIFS('Accounting data'!$G$2:$G$37002,'Accounting data'!$I$2:$I$37002,"9*",'Accounting data'!$J$2:$J$37002,"22*",'Accounting data'!$K$2:$K$37002,"68*")</f>
        <v>0</v>
      </c>
    </row>
    <row r="1463" spans="1:5" x14ac:dyDescent="0.2">
      <c r="A1463" s="524" t="s">
        <v>991</v>
      </c>
      <c r="B1463" s="522" t="s">
        <v>992</v>
      </c>
      <c r="C1463" s="522">
        <v>2200</v>
      </c>
      <c r="D1463" s="522">
        <v>6800</v>
      </c>
      <c r="E1463" s="523">
        <f t="array" ref="E1463">SUMIFS('Accounting data'!$G$2:$G$37002,'Accounting data'!$H$2:$H$37002,"9999*",'Accounting data'!$I$2:$I$37002,"7*",'Accounting data'!$J$2:$J$37002,"22*",'Accounting data'!$K$2:$K$37002,"68*")+SUMIFS('Accounting data'!$G$2:$G$37002,'Accounting data'!$H$2:$H$37002,"9999*",'Accounting data'!$I$2:$I$37002,"8*",'Accounting data'!$J$2:$J$37002,"22*",'Accounting data'!$K$2:$K$37002,"68*")+SUMIFS('Accounting data'!$G$2:$G$37002,'Accounting data'!$H$2:$H$37002,"9999*",'Accounting data'!$I$2:$I$37002,"9*",'Accounting data'!$J$2:$J$37002,"22*",'Accounting data'!$K$2:$K$37002,"68*")</f>
        <v>0</v>
      </c>
    </row>
    <row r="1464" spans="1:5" ht="15" x14ac:dyDescent="0.25">
      <c r="A1464" s="525" t="s">
        <v>1107</v>
      </c>
      <c r="B1464" s="525"/>
      <c r="C1464" s="525"/>
      <c r="D1464" s="525"/>
      <c r="E1464" s="526">
        <f>(E1460-E1461-E1462)+E1463</f>
        <v>0</v>
      </c>
    </row>
    <row r="1465" spans="1:5" x14ac:dyDescent="0.2">
      <c r="A1465" s="522" t="s">
        <v>990</v>
      </c>
      <c r="B1465" s="522" t="s">
        <v>990</v>
      </c>
      <c r="C1465" s="522">
        <v>2300</v>
      </c>
      <c r="D1465" s="522">
        <v>6800</v>
      </c>
      <c r="E1465" s="523">
        <f t="array" ref="E1465">SUMIFS('Accounting data'!$G$2:$G$37002,'Accounting data'!$J$2:$J$37002,"23*",'Accounting data'!$K$2:$K$37002,"68*")</f>
        <v>0</v>
      </c>
    </row>
    <row r="1466" spans="1:5" x14ac:dyDescent="0.2">
      <c r="A1466" s="522" t="s">
        <v>991</v>
      </c>
      <c r="B1466" s="522" t="s">
        <v>990</v>
      </c>
      <c r="C1466" s="522">
        <v>2300</v>
      </c>
      <c r="D1466" s="522">
        <v>6800</v>
      </c>
      <c r="E1466" s="523">
        <f t="array" ref="E1466">SUMIFS('Accounting data'!$G$2:$G$37002,'Accounting data'!$H$2:$H$37002,"9999*",'Accounting data'!$J$2:$J$37002,"23*",'Accounting data'!$K$2:$K$37002,"68*")</f>
        <v>0</v>
      </c>
    </row>
    <row r="1467" spans="1:5" x14ac:dyDescent="0.2">
      <c r="A1467" s="522" t="s">
        <v>990</v>
      </c>
      <c r="B1467" s="522" t="s">
        <v>992</v>
      </c>
      <c r="C1467" s="522">
        <v>2300</v>
      </c>
      <c r="D1467" s="522">
        <v>6800</v>
      </c>
      <c r="E1467" s="523">
        <f t="array" ref="E1467">SUMIFS('Accounting data'!$G$2:$G$37002,'Accounting data'!$I$2:$I$37002,"7*",'Accounting data'!$J$2:$J$37002,"23*",'Accounting data'!$K$2:$K$37002,"68*")+SUMIFS('Accounting data'!$G$2:$G$37002,'Accounting data'!$I$2:$I$37002,"8*",'Accounting data'!$J$2:$J$37002,"23*",'Accounting data'!$K$2:$K$37002,"68*")+SUMIFS('Accounting data'!$G$2:$G$37002,'Accounting data'!$I$2:$I$37002,"9*",'Accounting data'!$J$2:$J$37002,"23*",'Accounting data'!$K$2:$K$37002,"68*")</f>
        <v>0</v>
      </c>
    </row>
    <row r="1468" spans="1:5" x14ac:dyDescent="0.2">
      <c r="A1468" s="524" t="s">
        <v>991</v>
      </c>
      <c r="B1468" s="522" t="s">
        <v>992</v>
      </c>
      <c r="C1468" s="522">
        <v>2300</v>
      </c>
      <c r="D1468" s="522">
        <v>6800</v>
      </c>
      <c r="E1468" s="523">
        <f t="array" ref="E1468">SUMIFS('Accounting data'!$G$2:$G$37002,'Accounting data'!$H$2:$H$37002,"9999*",'Accounting data'!$I$2:$I$37002,"7*",'Accounting data'!$J$2:$J$37002,"23*",'Accounting data'!$K$2:$K$37002,"68*")+SUMIFS('Accounting data'!$G$2:$G$37002,'Accounting data'!$H$2:$H$37002,"9999*",'Accounting data'!$I$2:$I$37002,"8*",'Accounting data'!$J$2:$J$37002,"23*",'Accounting data'!$K$2:$K$37002,"68*")+SUMIFS('Accounting data'!$G$2:$G$37002,'Accounting data'!$H$2:$H$37002,"9999*",'Accounting data'!$I$2:$I$37002,"9*",'Accounting data'!$J$2:$J$37002,"23*",'Accounting data'!$K$2:$K$37002,"68*")</f>
        <v>0</v>
      </c>
    </row>
    <row r="1469" spans="1:5" ht="15" x14ac:dyDescent="0.25">
      <c r="A1469" s="525" t="s">
        <v>1108</v>
      </c>
      <c r="B1469" s="525"/>
      <c r="C1469" s="525"/>
      <c r="D1469" s="525"/>
      <c r="E1469" s="526">
        <f>(E1465-E1466-E1467)+E1468</f>
        <v>0</v>
      </c>
    </row>
    <row r="1470" spans="1:5" x14ac:dyDescent="0.2">
      <c r="A1470" s="522" t="s">
        <v>990</v>
      </c>
      <c r="B1470" s="522" t="s">
        <v>990</v>
      </c>
      <c r="C1470" s="522">
        <v>2400</v>
      </c>
      <c r="D1470" s="522">
        <v>6800</v>
      </c>
      <c r="E1470" s="523">
        <f t="array" ref="E1470">SUMIFS('Accounting data'!$G$2:$G$37002,'Accounting data'!$J$2:$J$37002,"24*",'Accounting data'!$K$2:$K$37002,"68*")</f>
        <v>16352</v>
      </c>
    </row>
    <row r="1471" spans="1:5" x14ac:dyDescent="0.2">
      <c r="A1471" s="522" t="s">
        <v>991</v>
      </c>
      <c r="B1471" s="522" t="s">
        <v>990</v>
      </c>
      <c r="C1471" s="522">
        <v>2400</v>
      </c>
      <c r="D1471" s="522">
        <v>6800</v>
      </c>
      <c r="E1471" s="523">
        <f t="array" ref="E1471">SUMIFS('Accounting data'!$G$2:$G$37002,'Accounting data'!$H$2:$H$37002,"9999*",'Accounting data'!$J$2:$J$37002,"24*",'Accounting data'!$K$2:$K$37002,"68*")</f>
        <v>0</v>
      </c>
    </row>
    <row r="1472" spans="1:5" x14ac:dyDescent="0.2">
      <c r="A1472" s="522" t="s">
        <v>990</v>
      </c>
      <c r="B1472" s="522" t="s">
        <v>992</v>
      </c>
      <c r="C1472" s="522">
        <v>2400</v>
      </c>
      <c r="D1472" s="522">
        <v>6800</v>
      </c>
      <c r="E1472" s="523">
        <f t="array" ref="E1472">SUMIFS('Accounting data'!$G$2:$G$37002,'Accounting data'!$I$2:$I$37002,"7*",'Accounting data'!$J$2:$J$37002,"24*",'Accounting data'!$K$2:$K$37002,"68*")+SUMIFS('Accounting data'!$G$2:$G$37002,'Accounting data'!$I$2:$I$37002,"8*",'Accounting data'!$J$2:$J$37002,"24*",'Accounting data'!$K$2:$K$37002,"68*")+SUMIFS('Accounting data'!$G$2:$G$37002,'Accounting data'!$I$2:$I$37002,"9*",'Accounting data'!$J$2:$J$37002,"24*",'Accounting data'!$K$2:$K$37002,"68*")</f>
        <v>0</v>
      </c>
    </row>
    <row r="1473" spans="1:5" x14ac:dyDescent="0.2">
      <c r="A1473" s="524" t="s">
        <v>991</v>
      </c>
      <c r="B1473" s="522" t="s">
        <v>992</v>
      </c>
      <c r="C1473" s="522">
        <v>2400</v>
      </c>
      <c r="D1473" s="522">
        <v>6800</v>
      </c>
      <c r="E1473" s="523">
        <f t="array" ref="E1473">SUMIFS('Accounting data'!$G$2:$G$37002,'Accounting data'!$H$2:$H$37002,"9999*",'Accounting data'!$I$2:$I$37002,"7*",'Accounting data'!$J$2:$J$37002,"24*",'Accounting data'!$K$2:$K$37002,"68*")+SUMIFS('Accounting data'!$G$2:$G$37002,'Accounting data'!$H$2:$H$37002,"9999*",'Accounting data'!$I$2:$I$37002,"8*",'Accounting data'!$J$2:$J$37002,"24*",'Accounting data'!$K$2:$K$37002,"68*")+SUMIFS('Accounting data'!$G$2:$G$37002,'Accounting data'!$H$2:$H$37002,"9999*",'Accounting data'!$I$2:$I$37002,"9*",'Accounting data'!$J$2:$J$37002,"24*",'Accounting data'!$K$2:$K$37002,"68*")</f>
        <v>0</v>
      </c>
    </row>
    <row r="1474" spans="1:5" ht="15" x14ac:dyDescent="0.25">
      <c r="A1474" s="525" t="s">
        <v>1109</v>
      </c>
      <c r="B1474" s="525"/>
      <c r="C1474" s="525"/>
      <c r="D1474" s="525"/>
      <c r="E1474" s="526">
        <f>(E1470-E1471-E1472)+E1473</f>
        <v>16352</v>
      </c>
    </row>
    <row r="1475" spans="1:5" x14ac:dyDescent="0.2">
      <c r="A1475" s="522" t="s">
        <v>990</v>
      </c>
      <c r="B1475" s="522" t="s">
        <v>990</v>
      </c>
      <c r="C1475" s="522">
        <v>2500</v>
      </c>
      <c r="D1475" s="522">
        <v>6800</v>
      </c>
      <c r="E1475" s="523">
        <f t="array" ref="E1475">SUMIFS('Accounting data'!$G$2:$G$37002,'Accounting data'!$J$2:$J$37002,"25*",'Accounting data'!$K$2:$K$37002,"68*")</f>
        <v>69950</v>
      </c>
    </row>
    <row r="1476" spans="1:5" x14ac:dyDescent="0.2">
      <c r="A1476" s="522" t="s">
        <v>991</v>
      </c>
      <c r="B1476" s="522" t="s">
        <v>990</v>
      </c>
      <c r="C1476" s="522">
        <v>2500</v>
      </c>
      <c r="D1476" s="522">
        <v>6800</v>
      </c>
      <c r="E1476" s="523">
        <f t="array" ref="E1476">SUMIFS('Accounting data'!$G$2:$G$37002,'Accounting data'!$H$2:$H$37002,"9999*",'Accounting data'!$J$2:$J$37002,"25*",'Accounting data'!$K$2:$K$37002,"68*")</f>
        <v>0</v>
      </c>
    </row>
    <row r="1477" spans="1:5" x14ac:dyDescent="0.2">
      <c r="A1477" s="522" t="s">
        <v>990</v>
      </c>
      <c r="B1477" s="522" t="s">
        <v>992</v>
      </c>
      <c r="C1477" s="522">
        <v>2500</v>
      </c>
      <c r="D1477" s="522">
        <v>6800</v>
      </c>
      <c r="E1477" s="523">
        <f t="array" ref="E1477">SUMIFS('Accounting data'!$G$2:$G$37002,'Accounting data'!$I$2:$I$37002,"7*",'Accounting data'!$J$2:$J$37002,"25*",'Accounting data'!$K$2:$K$37002,"68*")+SUMIFS('Accounting data'!$G$2:$G$37002,'Accounting data'!$I$2:$I$37002,"8*",'Accounting data'!$J$2:$J$37002,"25*",'Accounting data'!$K$2:$K$37002,"68*")+SUMIFS('Accounting data'!$G$2:$G$37002,'Accounting data'!$I$2:$I$37002,"9*",'Accounting data'!$J$2:$J$37002,"25*",'Accounting data'!$K$2:$K$37002,"68*")</f>
        <v>0</v>
      </c>
    </row>
    <row r="1478" spans="1:5" x14ac:dyDescent="0.2">
      <c r="A1478" s="524" t="s">
        <v>991</v>
      </c>
      <c r="B1478" s="522" t="s">
        <v>992</v>
      </c>
      <c r="C1478" s="522">
        <v>2500</v>
      </c>
      <c r="D1478" s="522">
        <v>6800</v>
      </c>
      <c r="E1478" s="523">
        <f t="array" ref="E1478">SUMIFS('Accounting data'!$G$2:$G$37002,'Accounting data'!$H$2:$H$37002,"9999*",'Accounting data'!$I$2:$I$37002,"7*",'Accounting data'!$J$2:$J$37002,"25*",'Accounting data'!$K$2:$K$37002,"68*")+SUMIFS('Accounting data'!$G$2:$G$37002,'Accounting data'!$H$2:$H$37002,"9999*",'Accounting data'!$I$2:$I$37002,"8*",'Accounting data'!$J$2:$J$37002,"25*",'Accounting data'!$K$2:$K$37002,"68*")+SUMIFS('Accounting data'!$G$2:$G$37002,'Accounting data'!$H$2:$H$37002,"9999*",'Accounting data'!$I$2:$I$37002,"9*",'Accounting data'!$J$2:$J$37002,"25*",'Accounting data'!$K$2:$K$37002,"68*")</f>
        <v>0</v>
      </c>
    </row>
    <row r="1479" spans="1:5" ht="15" x14ac:dyDescent="0.25">
      <c r="A1479" s="525" t="s">
        <v>1110</v>
      </c>
      <c r="B1479" s="525"/>
      <c r="C1479" s="525"/>
      <c r="D1479" s="525"/>
      <c r="E1479" s="526">
        <f>(E1475-E1476-E1477)+E1478</f>
        <v>69950</v>
      </c>
    </row>
    <row r="1480" spans="1:5" x14ac:dyDescent="0.2">
      <c r="A1480" s="522" t="s">
        <v>990</v>
      </c>
      <c r="B1480" s="522" t="s">
        <v>990</v>
      </c>
      <c r="C1480" s="522">
        <v>2900</v>
      </c>
      <c r="D1480" s="522">
        <v>6800</v>
      </c>
      <c r="E1480" s="523">
        <f t="array" ref="E1480">SUMIFS('Accounting data'!$G$2:$G$37002,'Accounting data'!$J$2:$J$37002,"29*",'Accounting data'!$K$2:$K$37002,"68*")</f>
        <v>0</v>
      </c>
    </row>
    <row r="1481" spans="1:5" x14ac:dyDescent="0.2">
      <c r="A1481" s="522" t="s">
        <v>991</v>
      </c>
      <c r="B1481" s="522" t="s">
        <v>990</v>
      </c>
      <c r="C1481" s="522">
        <v>2900</v>
      </c>
      <c r="D1481" s="522">
        <v>6800</v>
      </c>
      <c r="E1481" s="523">
        <f t="array" ref="E1481">SUMIFS('Accounting data'!$G$2:$G$37002,'Accounting data'!$H$2:$H$37002,"9999*",'Accounting data'!$J$2:$J$37002,"29*",'Accounting data'!$K$2:$K$37002,"68*")</f>
        <v>0</v>
      </c>
    </row>
    <row r="1482" spans="1:5" x14ac:dyDescent="0.2">
      <c r="A1482" s="522" t="s">
        <v>990</v>
      </c>
      <c r="B1482" s="522" t="s">
        <v>992</v>
      </c>
      <c r="C1482" s="522">
        <v>2900</v>
      </c>
      <c r="D1482" s="522">
        <v>6800</v>
      </c>
      <c r="E1482" s="523">
        <f t="array" ref="E1482">SUMIFS('Accounting data'!$G$2:$G$37002,'Accounting data'!$I$2:$I$37002,"7*",'Accounting data'!$J$2:$J$37002,"29*",'Accounting data'!$K$2:$K$37002,"68*")+SUMIFS('Accounting data'!$G$2:$G$37002,'Accounting data'!$I$2:$I$37002,"8*",'Accounting data'!$J$2:$J$37002,"29*",'Accounting data'!$K$2:$K$37002,"68*")+SUMIFS('Accounting data'!$G$2:$G$37002,'Accounting data'!$I$2:$I$37002,"9*",'Accounting data'!$J$2:$J$37002,"29*",'Accounting data'!$K$2:$K$37002,"68*")</f>
        <v>0</v>
      </c>
    </row>
    <row r="1483" spans="1:5" x14ac:dyDescent="0.2">
      <c r="A1483" s="524" t="s">
        <v>991</v>
      </c>
      <c r="B1483" s="522" t="s">
        <v>992</v>
      </c>
      <c r="C1483" s="522">
        <v>2900</v>
      </c>
      <c r="D1483" s="522">
        <v>6800</v>
      </c>
      <c r="E1483" s="523">
        <f t="array" ref="E1483">SUMIFS('Accounting data'!$G$2:$G$37002,'Accounting data'!$H$2:$H$37002,"9999*",'Accounting data'!$I$2:$I$37002,"7*",'Accounting data'!$J$2:$J$37002,"29*",'Accounting data'!$K$2:$K$37002,"68*")+SUMIFS('Accounting data'!$G$2:$G$37002,'Accounting data'!$H$2:$H$37002,"9999*",'Accounting data'!$I$2:$I$37002,"8*",'Accounting data'!$J$2:$J$37002,"29*",'Accounting data'!$K$2:$K$37002,"68*")+SUMIFS('Accounting data'!$G$2:$G$37002,'Accounting data'!$H$2:$H$37002,"9999*",'Accounting data'!$I$2:$I$37002,"9*",'Accounting data'!$J$2:$J$37002,"29*",'Accounting data'!$K$2:$K$37002,"68*")</f>
        <v>0</v>
      </c>
    </row>
    <row r="1484" spans="1:5" ht="15" x14ac:dyDescent="0.25">
      <c r="A1484" s="525" t="s">
        <v>1111</v>
      </c>
      <c r="B1484" s="525"/>
      <c r="C1484" s="525"/>
      <c r="D1484" s="525"/>
      <c r="E1484" s="526">
        <f>(E1480-E1481-E1482)+E1483</f>
        <v>0</v>
      </c>
    </row>
    <row r="1485" spans="1:5" x14ac:dyDescent="0.2">
      <c r="A1485" s="522" t="s">
        <v>990</v>
      </c>
      <c r="B1485" s="522" t="s">
        <v>990</v>
      </c>
      <c r="C1485" s="522">
        <v>2600</v>
      </c>
      <c r="D1485" s="522">
        <v>6800</v>
      </c>
      <c r="E1485" s="523">
        <f t="array" ref="E1485">SUMIFS('Accounting data'!$G$2:$G$37002,'Accounting data'!$J$2:$J$37002,"26*",'Accounting data'!$K$2:$K$37002,"68*")</f>
        <v>500766</v>
      </c>
    </row>
    <row r="1486" spans="1:5" x14ac:dyDescent="0.2">
      <c r="A1486" s="522" t="s">
        <v>991</v>
      </c>
      <c r="B1486" s="522" t="s">
        <v>990</v>
      </c>
      <c r="C1486" s="522">
        <v>2600</v>
      </c>
      <c r="D1486" s="522">
        <v>6800</v>
      </c>
      <c r="E1486" s="523">
        <f t="array" ref="E1486">SUMIFS('Accounting data'!$G$2:$G$37002,'Accounting data'!$H$2:$H$37002,"9999*",'Accounting data'!$J$2:$J$37002,"26*",'Accounting data'!$K$2:$K$37002,"68*")</f>
        <v>0</v>
      </c>
    </row>
    <row r="1487" spans="1:5" x14ac:dyDescent="0.2">
      <c r="A1487" s="522" t="s">
        <v>990</v>
      </c>
      <c r="B1487" s="522" t="s">
        <v>992</v>
      </c>
      <c r="C1487" s="522">
        <v>2600</v>
      </c>
      <c r="D1487" s="522">
        <v>6800</v>
      </c>
      <c r="E1487" s="523">
        <f t="array" ref="E1487">SUMIFS('Accounting data'!$G$2:$G$37002,'Accounting data'!$I$2:$I$37002,"7*",'Accounting data'!$J$2:$J$37002,"26*",'Accounting data'!$K$2:$K$37002,"68*")+SUMIFS('Accounting data'!$G$2:$G$37002,'Accounting data'!$I$2:$I$37002,"8*",'Accounting data'!$J$2:$J$37002,"26*",'Accounting data'!$K$2:$K$37002,"68*")+SUMIFS('Accounting data'!$G$2:$G$37002,'Accounting data'!$I$2:$I$37002,"9*",'Accounting data'!$J$2:$J$37002,"26*",'Accounting data'!$K$2:$K$37002,"68*")</f>
        <v>0</v>
      </c>
    </row>
    <row r="1488" spans="1:5" x14ac:dyDescent="0.2">
      <c r="A1488" s="524" t="s">
        <v>991</v>
      </c>
      <c r="B1488" s="522" t="s">
        <v>992</v>
      </c>
      <c r="C1488" s="522">
        <v>2600</v>
      </c>
      <c r="D1488" s="522">
        <v>6800</v>
      </c>
      <c r="E1488" s="523">
        <f t="array" ref="E1488">SUMIFS('Accounting data'!$G$2:$G$37002,'Accounting data'!$H$2:$H$37002,"9999*",'Accounting data'!$I$2:$I$37002,"7*",'Accounting data'!$J$2:$J$37002,"26*",'Accounting data'!$K$2:$K$37002,"68*")+SUMIFS('Accounting data'!$G$2:$G$37002,'Accounting data'!$H$2:$H$37002,"9999*",'Accounting data'!$I$2:$I$37002,"8*",'Accounting data'!$J$2:$J$37002,"26*",'Accounting data'!$K$2:$K$37002,"68*")+SUMIFS('Accounting data'!$G$2:$G$37002,'Accounting data'!$H$2:$H$37002,"9999*",'Accounting data'!$I$2:$I$37002,"9*",'Accounting data'!$J$2:$J$37002,"26*",'Accounting data'!$K$2:$K$37002,"68*")</f>
        <v>0</v>
      </c>
    </row>
    <row r="1489" spans="1:5" ht="15" x14ac:dyDescent="0.25">
      <c r="A1489" s="525" t="s">
        <v>1112</v>
      </c>
      <c r="B1489" s="525"/>
      <c r="C1489" s="525"/>
      <c r="D1489" s="525"/>
      <c r="E1489" s="526">
        <f>(E1485-E1486-E1487)+E1488</f>
        <v>500766</v>
      </c>
    </row>
    <row r="1490" spans="1:5" x14ac:dyDescent="0.2">
      <c r="A1490" s="522" t="s">
        <v>990</v>
      </c>
      <c r="B1490" s="522" t="s">
        <v>990</v>
      </c>
      <c r="C1490" s="522">
        <v>2700</v>
      </c>
      <c r="D1490" s="522">
        <v>6800</v>
      </c>
      <c r="E1490" s="523">
        <f t="array" ref="E1490">SUMIFS('Accounting data'!$G$2:$G$37002,'Accounting data'!$J$2:$J$37002,"27*",'Accounting data'!$K$2:$K$37002,"68*")</f>
        <v>0</v>
      </c>
    </row>
    <row r="1491" spans="1:5" x14ac:dyDescent="0.2">
      <c r="A1491" s="522" t="s">
        <v>991</v>
      </c>
      <c r="B1491" s="522" t="s">
        <v>990</v>
      </c>
      <c r="C1491" s="522">
        <v>2700</v>
      </c>
      <c r="D1491" s="522">
        <v>6800</v>
      </c>
      <c r="E1491" s="523">
        <f t="array" ref="E1491">SUMIFS('Accounting data'!$G$2:$G$37002,'Accounting data'!$H$2:$H$37002,"9999*",'Accounting data'!$J$2:$J$37002,"27*",'Accounting data'!$K$2:$K$37002,"68*")</f>
        <v>0</v>
      </c>
    </row>
    <row r="1492" spans="1:5" x14ac:dyDescent="0.2">
      <c r="A1492" s="522" t="s">
        <v>990</v>
      </c>
      <c r="B1492" s="522" t="s">
        <v>992</v>
      </c>
      <c r="C1492" s="522">
        <v>2700</v>
      </c>
      <c r="D1492" s="522">
        <v>6800</v>
      </c>
      <c r="E1492" s="523">
        <f t="array" ref="E1492">SUMIFS('Accounting data'!$G$2:$G$37002,'Accounting data'!$I$2:$I$37002,"7*",'Accounting data'!$J$2:$J$37002,"27*",'Accounting data'!$K$2:$K$37002,"68*")+SUMIFS('Accounting data'!$G$2:$G$37002,'Accounting data'!$I$2:$I$37002,"8*",'Accounting data'!$J$2:$J$37002,"27*",'Accounting data'!$K$2:$K$37002,"68*")+SUMIFS('Accounting data'!$G$2:$G$37002,'Accounting data'!$I$2:$I$37002,"9*",'Accounting data'!$J$2:$J$37002,"27*",'Accounting data'!$K$2:$K$37002,"68*")</f>
        <v>0</v>
      </c>
    </row>
    <row r="1493" spans="1:5" x14ac:dyDescent="0.2">
      <c r="A1493" s="524" t="s">
        <v>991</v>
      </c>
      <c r="B1493" s="522" t="s">
        <v>992</v>
      </c>
      <c r="C1493" s="522">
        <v>2700</v>
      </c>
      <c r="D1493" s="522">
        <v>6800</v>
      </c>
      <c r="E1493" s="523">
        <f t="array" ref="E1493">SUMIFS('Accounting data'!$G$2:$G$37002,'Accounting data'!$H$2:$H$37002,"9999*",'Accounting data'!$I$2:$I$37002,"7*",'Accounting data'!$J$2:$J$37002,"27*",'Accounting data'!$K$2:$K$37002,"68*")+SUMIFS('Accounting data'!$G$2:$G$37002,'Accounting data'!$H$2:$H$37002,"9999*",'Accounting data'!$I$2:$I$37002,"8*",'Accounting data'!$J$2:$J$37002,"27*",'Accounting data'!$K$2:$K$37002,"68*")+SUMIFS('Accounting data'!$G$2:$G$37002,'Accounting data'!$H$2:$H$37002,"9999*",'Accounting data'!$I$2:$I$37002,"9*",'Accounting data'!$J$2:$J$37002,"27*",'Accounting data'!$K$2:$K$37002,"68*")</f>
        <v>0</v>
      </c>
    </row>
    <row r="1494" spans="1:5" ht="15" x14ac:dyDescent="0.25">
      <c r="A1494" s="525" t="s">
        <v>1113</v>
      </c>
      <c r="B1494" s="525"/>
      <c r="C1494" s="525"/>
      <c r="D1494" s="525"/>
      <c r="E1494" s="526">
        <f>(E1490-E1491-E1492)+E1493</f>
        <v>0</v>
      </c>
    </row>
    <row r="1495" spans="1:5" x14ac:dyDescent="0.2">
      <c r="A1495" s="522" t="s">
        <v>990</v>
      </c>
      <c r="B1495" s="522" t="s">
        <v>990</v>
      </c>
      <c r="C1495" s="522">
        <v>3100</v>
      </c>
      <c r="D1495" s="522">
        <v>6800</v>
      </c>
      <c r="E1495" s="523">
        <f t="array" ref="E1495">SUMIFS('Accounting data'!$G$2:$G$37002,'Accounting data'!$J$2:$J$37002,"31*",'Accounting data'!$K$2:$K$37002,"68*")</f>
        <v>0</v>
      </c>
    </row>
    <row r="1496" spans="1:5" x14ac:dyDescent="0.2">
      <c r="A1496" s="522" t="s">
        <v>991</v>
      </c>
      <c r="B1496" s="522" t="s">
        <v>990</v>
      </c>
      <c r="C1496" s="522">
        <v>3100</v>
      </c>
      <c r="D1496" s="522">
        <v>6800</v>
      </c>
      <c r="E1496" s="523">
        <f t="array" ref="E1496">SUMIFS('Accounting data'!$G$2:$G$37002,'Accounting data'!$H$2:$H$37002,"9999*",'Accounting data'!$J$2:$J$37002,"31*",'Accounting data'!$K$2:$K$37002,"68*")</f>
        <v>0</v>
      </c>
    </row>
    <row r="1497" spans="1:5" x14ac:dyDescent="0.2">
      <c r="A1497" s="522" t="s">
        <v>990</v>
      </c>
      <c r="B1497" s="522" t="s">
        <v>992</v>
      </c>
      <c r="C1497" s="522">
        <v>3100</v>
      </c>
      <c r="D1497" s="522">
        <v>6800</v>
      </c>
      <c r="E1497" s="523">
        <f t="array" ref="E1497">SUMIFS('Accounting data'!$G$2:$G$37002,'Accounting data'!$I$2:$I$37002,"7*",'Accounting data'!$J$2:$J$37002,"31*",'Accounting data'!$K$2:$K$37002,"68*")+SUMIFS('Accounting data'!$G$2:$G$37002,'Accounting data'!$I$2:$I$37002,"8*",'Accounting data'!$J$2:$J$37002,"31*",'Accounting data'!$K$2:$K$37002,"68*")+SUMIFS('Accounting data'!$G$2:$G$37002,'Accounting data'!$I$2:$I$37002,"9*",'Accounting data'!$J$2:$J$37002,"31*",'Accounting data'!$K$2:$K$37002,"68*")</f>
        <v>0</v>
      </c>
    </row>
    <row r="1498" spans="1:5" x14ac:dyDescent="0.2">
      <c r="A1498" s="524" t="s">
        <v>991</v>
      </c>
      <c r="B1498" s="522" t="s">
        <v>992</v>
      </c>
      <c r="C1498" s="522">
        <v>3100</v>
      </c>
      <c r="D1498" s="522">
        <v>6800</v>
      </c>
      <c r="E1498" s="523">
        <f t="array" ref="E1498">SUMIFS('Accounting data'!$G$2:$G$37002,'Accounting data'!$H$2:$H$37002,"9999*",'Accounting data'!$I$2:$I$37002,"7*",'Accounting data'!$J$2:$J$37002,"31*",'Accounting data'!$K$2:$K$37002,"68*")+SUMIFS('Accounting data'!$G$2:$G$37002,'Accounting data'!$H$2:$H$37002,"9999*",'Accounting data'!$I$2:$I$37002,"8*",'Accounting data'!$J$2:$J$37002,"31*",'Accounting data'!$K$2:$K$37002,"68*")+SUMIFS('Accounting data'!$G$2:$G$37002,'Accounting data'!$H$2:$H$37002,"9999*",'Accounting data'!$I$2:$I$37002,"9*",'Accounting data'!$J$2:$J$37002,"31*",'Accounting data'!$K$2:$K$37002,"68*")</f>
        <v>0</v>
      </c>
    </row>
    <row r="1499" spans="1:5" ht="15" x14ac:dyDescent="0.25">
      <c r="A1499" s="525" t="s">
        <v>1114</v>
      </c>
      <c r="B1499" s="525"/>
      <c r="C1499" s="525"/>
      <c r="D1499" s="525"/>
      <c r="E1499" s="526">
        <f>(E1495-E1496-E1497)+E1498</f>
        <v>0</v>
      </c>
    </row>
    <row r="1500" spans="1:5" x14ac:dyDescent="0.2">
      <c r="A1500" s="522" t="s">
        <v>990</v>
      </c>
      <c r="B1500" s="522" t="s">
        <v>990</v>
      </c>
      <c r="C1500" s="522">
        <v>3400</v>
      </c>
      <c r="D1500" s="522">
        <v>6800</v>
      </c>
      <c r="E1500" s="523">
        <f t="array" ref="E1500">SUMIFS('Accounting data'!$G$2:$G$37002,'Accounting data'!$J$2:$J$37002,"34*",'Accounting data'!$K$2:$K$37002,"68*")</f>
        <v>0</v>
      </c>
    </row>
    <row r="1501" spans="1:5" x14ac:dyDescent="0.2">
      <c r="A1501" s="522" t="s">
        <v>991</v>
      </c>
      <c r="B1501" s="522" t="s">
        <v>990</v>
      </c>
      <c r="C1501" s="522">
        <v>3400</v>
      </c>
      <c r="D1501" s="522">
        <v>6800</v>
      </c>
      <c r="E1501" s="523">
        <f t="array" ref="E1501">SUMIFS('Accounting data'!$G$2:$G$37002,'Accounting data'!$H$2:$H$37002,"9999*",'Accounting data'!$J$2:$J$37002,"34*",'Accounting data'!$K$2:$K$37002,"68*")</f>
        <v>0</v>
      </c>
    </row>
    <row r="1502" spans="1:5" x14ac:dyDescent="0.2">
      <c r="A1502" s="522" t="s">
        <v>990</v>
      </c>
      <c r="B1502" s="522" t="s">
        <v>992</v>
      </c>
      <c r="C1502" s="522">
        <v>3400</v>
      </c>
      <c r="D1502" s="522">
        <v>6800</v>
      </c>
      <c r="E1502" s="523">
        <f t="array" ref="E1502">SUMIFS('Accounting data'!$G$2:$G$37002,'Accounting data'!$I$2:$I$37002,"7*",'Accounting data'!$J$2:$J$37002,"34*",'Accounting data'!$K$2:$K$37002,"68*")+SUMIFS('Accounting data'!$G$2:$G$37002,'Accounting data'!$I$2:$I$37002,"8*",'Accounting data'!$J$2:$J$37002,"34*",'Accounting data'!$K$2:$K$37002,"68*")+SUMIFS('Accounting data'!$G$2:$G$37002,'Accounting data'!$I$2:$I$37002,"9*",'Accounting data'!$J$2:$J$37002,"34*",'Accounting data'!$K$2:$K$37002,"68*")</f>
        <v>0</v>
      </c>
    </row>
    <row r="1503" spans="1:5" x14ac:dyDescent="0.2">
      <c r="A1503" s="524" t="s">
        <v>991</v>
      </c>
      <c r="B1503" s="522" t="s">
        <v>992</v>
      </c>
      <c r="C1503" s="522">
        <v>3400</v>
      </c>
      <c r="D1503" s="522">
        <v>6800</v>
      </c>
      <c r="E1503" s="523">
        <f t="array" ref="E1503">SUMIFS('Accounting data'!$G$2:$G$37002,'Accounting data'!$H$2:$H$37002,"9999*",'Accounting data'!$I$2:$I$37002,"7*",'Accounting data'!$J$2:$J$37002,"34*",'Accounting data'!$K$2:$K$37002,"68*")+SUMIFS('Accounting data'!$G$2:$G$37002,'Accounting data'!$H$2:$H$37002,"9999*",'Accounting data'!$I$2:$I$37002,"8*",'Accounting data'!$J$2:$J$37002,"34*",'Accounting data'!$K$2:$K$37002,"68*")+SUMIFS('Accounting data'!$G$2:$G$37002,'Accounting data'!$H$2:$H$37002,"9999*",'Accounting data'!$I$2:$I$37002,"9*",'Accounting data'!$J$2:$J$37002,"34*",'Accounting data'!$K$2:$K$37002,"68*")</f>
        <v>0</v>
      </c>
    </row>
    <row r="1504" spans="1:5" ht="15" x14ac:dyDescent="0.25">
      <c r="A1504" s="525" t="s">
        <v>1115</v>
      </c>
      <c r="B1504" s="525"/>
      <c r="C1504" s="525"/>
      <c r="D1504" s="525"/>
      <c r="E1504" s="526">
        <f>(E1500-E1501-E1502)+E1503</f>
        <v>0</v>
      </c>
    </row>
    <row r="1505" spans="1:5" ht="15" x14ac:dyDescent="0.25">
      <c r="A1505" s="528" t="s">
        <v>1116</v>
      </c>
      <c r="B1505" s="528"/>
      <c r="C1505" s="528"/>
      <c r="D1505" s="528"/>
      <c r="E1505" s="529">
        <f>E1454+E1459+E1464+E1469+E1474+E1479+E1484+E1489+E1494+E1499+E1504</f>
        <v>914217</v>
      </c>
    </row>
    <row r="1506" spans="1:5" x14ac:dyDescent="0.2">
      <c r="A1506" s="522" t="s">
        <v>1006</v>
      </c>
      <c r="B1506" s="522" t="s">
        <v>990</v>
      </c>
      <c r="C1506" s="522">
        <v>1000</v>
      </c>
      <c r="D1506" s="522">
        <v>6800</v>
      </c>
      <c r="E1506" s="523">
        <f>SUMIFS('Accounting data'!$G$2:$G$37002,'Accounting data'!$H$2:$H$37002,"11*",'Accounting data'!$J$2:$J$37002,"1*",'Accounting data'!$K$2:$K$37002,"68*")+SUMIFS('Accounting data'!$G$2:$G$37002,'Accounting data'!$H$2:$H$37002,"12*",'Accounting data'!$J$2:$J$37002,"1*",'Accounting data'!$K$2:$K$37002,"68*")+SUMIFS('Accounting data'!$G$2:$G$37002,'Accounting data'!$H$2:$H$37002,"13*",'Accounting data'!$J$2:$J$37002,"1*",'Accounting data'!$K$2:$K$37002,"68*")</f>
        <v>0</v>
      </c>
    </row>
    <row r="1507" spans="1:5" x14ac:dyDescent="0.2">
      <c r="A1507" s="522" t="s">
        <v>1006</v>
      </c>
      <c r="B1507" s="522" t="s">
        <v>990</v>
      </c>
      <c r="C1507" s="522">
        <v>2000</v>
      </c>
      <c r="D1507" s="522">
        <v>6800</v>
      </c>
      <c r="E1507" s="523">
        <f>SUMIFS('Accounting data'!$G$2:$G$37002,'Accounting data'!$H$2:$H$37002,"11*",'Accounting data'!$J$2:$J$37002,"2*",'Accounting data'!$K$2:$K$37002,"68*")+SUMIFS('Accounting data'!$G$2:$G$37002,'Accounting data'!$H$2:$H$37002,"12*",'Accounting data'!$J$2:$J$37002,"2*",'Accounting data'!$K$2:$K$37002,"68*")+SUMIFS('Accounting data'!$G$2:$G$37002,'Accounting data'!$H$2:$H$37002,"13*",'Accounting data'!$J$2:$J$37002,"2*",'Accounting data'!$K$2:$K$37002,"68*")</f>
        <v>0</v>
      </c>
    </row>
    <row r="1508" spans="1:5" x14ac:dyDescent="0.2">
      <c r="A1508" s="522" t="s">
        <v>1006</v>
      </c>
      <c r="B1508" s="522" t="s">
        <v>990</v>
      </c>
      <c r="C1508" s="522">
        <v>3000</v>
      </c>
      <c r="D1508" s="522">
        <v>6800</v>
      </c>
      <c r="E1508" s="523">
        <f>SUMIFS('Accounting data'!$G$2:$G$37002,'Accounting data'!$H$2:$H$37002,"11*",'Accounting data'!$J$2:$J$37002,"3*",'Accounting data'!$K$2:$K$37002,"68*")+SUMIFS('Accounting data'!$G$2:$G$37002,'Accounting data'!$H$2:$H$37002,"12*",'Accounting data'!$J$2:$J$37002,"3*",'Accounting data'!$K$2:$K$37002,"68*")+SUMIFS('Accounting data'!$G$2:$G$37002,'Accounting data'!$H$2:$H$37002,"13*",'Accounting data'!$J$2:$J$37002,"3*",'Accounting data'!$K$2:$K$37002,"68*")</f>
        <v>0</v>
      </c>
    </row>
    <row r="1509" spans="1:5" x14ac:dyDescent="0.2">
      <c r="A1509" s="522" t="s">
        <v>1006</v>
      </c>
      <c r="B1509" s="524">
        <v>700</v>
      </c>
      <c r="C1509" s="522">
        <v>1000</v>
      </c>
      <c r="D1509" s="522">
        <v>6800</v>
      </c>
      <c r="E1509" s="523">
        <f>SUMIFS('Accounting data'!$G$2:$G$37002,'Accounting data'!$H$2:$H$37002,"11*",'Accounting data'!$I$2:$I$37002,"7*",'Accounting data'!$J$2:$J$37002,"1*",'Accounting data'!$K$2:$K$37002,"68*")+SUMIFS('Accounting data'!$G$2:$G$37002,'Accounting data'!$H$2:$H$37002,"12*",'Accounting data'!$I$2:$I$37002,"7*",'Accounting data'!$J$2:$J$37002,"1*",'Accounting data'!$K$2:$K$37002,"68*")+SUMIFS('Accounting data'!$G$2:$G$37002,'Accounting data'!$H$2:$H$37002,"13*",'Accounting data'!$I$2:$I$37002,"7*",'Accounting data'!$J$2:$J$37002,"1*",'Accounting data'!$K$2:$K$37002,"68*")</f>
        <v>0</v>
      </c>
    </row>
    <row r="1510" spans="1:5" x14ac:dyDescent="0.2">
      <c r="A1510" s="522" t="s">
        <v>1006</v>
      </c>
      <c r="B1510" s="524">
        <v>800</v>
      </c>
      <c r="C1510" s="522">
        <v>1000</v>
      </c>
      <c r="D1510" s="522">
        <v>6800</v>
      </c>
      <c r="E1510" s="523">
        <f>SUMIFS('Accounting data'!$G$2:$G$37002,'Accounting data'!$H$2:$H$37002,"11*",'Accounting data'!$I$2:$I$37002,"8*",'Accounting data'!$J$2:$J$37002,"1*",'Accounting data'!$K$2:$K$37002,"68*")+SUMIFS('Accounting data'!$G$2:$G$37002,'Accounting data'!$H$2:$H$37002,"12*",'Accounting data'!$I$2:$I$37002,"8*",'Accounting data'!$J$2:$J$37002,"1*",'Accounting data'!$K$2:$K$37002,"68*")+SUMIFS('Accounting data'!$G$2:$G$37002,'Accounting data'!$H$2:$H$37002,"13*",'Accounting data'!$I$2:$I$37002,"8*",'Accounting data'!$J$2:$J$37002,"1*",'Accounting data'!$K$2:$K$37002,"68*")</f>
        <v>0</v>
      </c>
    </row>
    <row r="1511" spans="1:5" x14ac:dyDescent="0.2">
      <c r="A1511" s="522" t="s">
        <v>1006</v>
      </c>
      <c r="B1511" s="524">
        <v>900</v>
      </c>
      <c r="C1511" s="522">
        <v>1000</v>
      </c>
      <c r="D1511" s="522">
        <v>6800</v>
      </c>
      <c r="E1511" s="523">
        <f>SUMIFS('Accounting data'!$G$2:$G$37002,'Accounting data'!$H$2:$H$37002,"11*",'Accounting data'!$I$2:$I$37002,"9*",'Accounting data'!$J$2:$J$37002,"1*",'Accounting data'!$K$2:$K$37002,"68*")+SUMIFS('Accounting data'!$G$2:$G$37002,'Accounting data'!$H$2:$H$37002,"12*",'Accounting data'!$I$2:$I$37002,"9*",'Accounting data'!$J$2:$J$37002,"1*",'Accounting data'!$K$2:$K$37002,"68*")+SUMIFS('Accounting data'!$G$2:$G$37002,'Accounting data'!$H$2:$H$37002,"13*",'Accounting data'!$I$2:$I$37002,"9*",'Accounting data'!$J$2:$J$37002,"1*",'Accounting data'!$K$2:$K$37002,"68*")</f>
        <v>0</v>
      </c>
    </row>
    <row r="1512" spans="1:5" x14ac:dyDescent="0.2">
      <c r="A1512" s="522" t="s">
        <v>1006</v>
      </c>
      <c r="B1512" s="524">
        <v>700</v>
      </c>
      <c r="C1512" s="522">
        <v>2000</v>
      </c>
      <c r="D1512" s="522">
        <v>6800</v>
      </c>
      <c r="E1512" s="523">
        <f>SUMIFS('Accounting data'!$G$2:$G$37002,'Accounting data'!$H$2:$H$37002,"11*",'Accounting data'!$I$2:$I$37002,"7*",'Accounting data'!$J$2:$J$37002,"2*",'Accounting data'!$K$2:$K$37002,"68*")+SUMIFS('Accounting data'!$G$2:$G$37002,'Accounting data'!$H$2:$H$37002,"12*",'Accounting data'!$I$2:$I$37002,"7*",'Accounting data'!$J$2:$J$37002,"2*",'Accounting data'!$K$2:$K$37002,"68*")+SUMIFS('Accounting data'!$G$2:$G$37002,'Accounting data'!$H$2:$H$37002,"13*",'Accounting data'!$I$2:$I$37002,"7*",'Accounting data'!$J$2:$J$37002,"2*",'Accounting data'!$K$2:$K$37002,"68*")</f>
        <v>0</v>
      </c>
    </row>
    <row r="1513" spans="1:5" x14ac:dyDescent="0.2">
      <c r="A1513" s="522" t="s">
        <v>1006</v>
      </c>
      <c r="B1513" s="524">
        <v>800</v>
      </c>
      <c r="C1513" s="522">
        <v>2000</v>
      </c>
      <c r="D1513" s="522">
        <v>6800</v>
      </c>
      <c r="E1513" s="523">
        <f>SUMIFS('Accounting data'!$G$2:$G$37002,'Accounting data'!$H$2:$H$37002,"11*",'Accounting data'!$I$2:$I$37002,"8*",'Accounting data'!$J$2:$J$37002,"2*",'Accounting data'!$K$2:$K$37002,"68*")+SUMIFS('Accounting data'!$G$2:$G$37002,'Accounting data'!$H$2:$H$37002,"12*",'Accounting data'!$I$2:$I$37002,"8*",'Accounting data'!$J$2:$J$37002,"2*",'Accounting data'!$K$2:$K$37002,"68*")+SUMIFS('Accounting data'!$G$2:$G$37002,'Accounting data'!$H$2:$H$37002,"13*",'Accounting data'!$I$2:$I$37002,"8*",'Accounting data'!$J$2:$J$37002,"2*",'Accounting data'!$K$2:$K$37002,"68*")</f>
        <v>0</v>
      </c>
    </row>
    <row r="1514" spans="1:5" x14ac:dyDescent="0.2">
      <c r="A1514" s="522" t="s">
        <v>1006</v>
      </c>
      <c r="B1514" s="524">
        <v>900</v>
      </c>
      <c r="C1514" s="522">
        <v>2000</v>
      </c>
      <c r="D1514" s="522">
        <v>6800</v>
      </c>
      <c r="E1514" s="523">
        <f>SUMIFS('Accounting data'!$G$2:$G$37002,'Accounting data'!$H$2:$H$37002,"11*",'Accounting data'!$I$2:$I$37002,"9*",'Accounting data'!$J$2:$J$37002,"2*",'Accounting data'!$K$2:$K$37002,"68*")+SUMIFS('Accounting data'!$G$2:$G$37002,'Accounting data'!$H$2:$H$37002,"12*",'Accounting data'!$I$2:$I$37002,"9*",'Accounting data'!$J$2:$J$37002,"2*",'Accounting data'!$K$2:$K$37002,"68*")+SUMIFS('Accounting data'!$G$2:$G$37002,'Accounting data'!$H$2:$H$37002,"13*",'Accounting data'!$I$2:$I$37002,"9*",'Accounting data'!$J$2:$J$37002,"2*",'Accounting data'!$K$2:$K$37002,"68*")</f>
        <v>0</v>
      </c>
    </row>
    <row r="1515" spans="1:5" x14ac:dyDescent="0.2">
      <c r="A1515" s="522" t="s">
        <v>1006</v>
      </c>
      <c r="B1515" s="524">
        <v>700</v>
      </c>
      <c r="C1515" s="522">
        <v>3000</v>
      </c>
      <c r="D1515" s="522">
        <v>6800</v>
      </c>
      <c r="E1515" s="523">
        <f>SUMIFS('Accounting data'!$G$2:$G$37002,'Accounting data'!$H$2:$H$37002,"11*",'Accounting data'!$I$2:$I$37002,"7*",'Accounting data'!$J$2:$J$37002,"3*",'Accounting data'!$K$2:$K$37002,"68*")+SUMIFS('Accounting data'!$G$2:$G$37002,'Accounting data'!$H$2:$H$37002,"12*",'Accounting data'!$I$2:$I$37002,"7*",'Accounting data'!$J$2:$J$37002,"3*",'Accounting data'!$K$2:$K$37002,"68*")+SUMIFS('Accounting data'!$G$2:$G$37002,'Accounting data'!$H$2:$H$37002,"13*",'Accounting data'!$I$2:$I$37002,"7*",'Accounting data'!$J$2:$J$37002,"3*",'Accounting data'!$K$2:$K$37002,"68*")</f>
        <v>0</v>
      </c>
    </row>
    <row r="1516" spans="1:5" x14ac:dyDescent="0.2">
      <c r="A1516" s="522" t="s">
        <v>1006</v>
      </c>
      <c r="B1516" s="524">
        <v>800</v>
      </c>
      <c r="C1516" s="522">
        <v>3000</v>
      </c>
      <c r="D1516" s="522">
        <v>6800</v>
      </c>
      <c r="E1516" s="523">
        <f>SUMIFS('Accounting data'!$G$2:$G$37002,'Accounting data'!$H$2:$H$37002,"11*",'Accounting data'!$I$2:$I$37002,"8*",'Accounting data'!$J$2:$J$37002,"3*",'Accounting data'!$K$2:$K$37002,"68*")+SUMIFS('Accounting data'!$G$2:$G$37002,'Accounting data'!$H$2:$H$37002,"12*",'Accounting data'!$I$2:$I$37002,"8*",'Accounting data'!$J$2:$J$37002,"3*",'Accounting data'!$K$2:$K$37002,"68*")+SUMIFS('Accounting data'!$G$2:$G$37002,'Accounting data'!$H$2:$H$37002,"13*",'Accounting data'!$I$2:$I$37002,"8*",'Accounting data'!$J$2:$J$37002,"3*",'Accounting data'!$K$2:$K$37002,"68*")</f>
        <v>0</v>
      </c>
    </row>
    <row r="1517" spans="1:5" x14ac:dyDescent="0.2">
      <c r="A1517" s="522" t="s">
        <v>1006</v>
      </c>
      <c r="B1517" s="524">
        <v>900</v>
      </c>
      <c r="C1517" s="522">
        <v>3000</v>
      </c>
      <c r="D1517" s="522">
        <v>6800</v>
      </c>
      <c r="E1517" s="523">
        <f>SUMIFS('Accounting data'!$G$2:$G$37002,'Accounting data'!$H$2:$H$37002,"11*",'Accounting data'!$I$2:$I$37002,"9*",'Accounting data'!$J$2:$J$37002,"3*",'Accounting data'!$K$2:$K$37002,"68*")+SUMIFS('Accounting data'!$G$2:$G$37002,'Accounting data'!$H$2:$H$37002,"12*",'Accounting data'!$I$2:$I$37002,"9*",'Accounting data'!$J$2:$J$37002,"3*",'Accounting data'!$K$2:$K$37002,"68*")+SUMIFS('Accounting data'!$G$2:$G$37002,'Accounting data'!$H$2:$H$37002,"13*",'Accounting data'!$I$2:$I$37002,"9*",'Accounting data'!$J$2:$J$37002,"3*",'Accounting data'!$K$2:$K$37002,"68*")</f>
        <v>0</v>
      </c>
    </row>
    <row r="1518" spans="1:5" x14ac:dyDescent="0.2">
      <c r="A1518" s="525" t="s">
        <v>1117</v>
      </c>
      <c r="B1518" s="525"/>
      <c r="C1518" s="525"/>
      <c r="D1518" s="525"/>
      <c r="E1518" s="535">
        <f>(E1506+E1507+E1508)-(E1509+E1510+E1511+E1512+E1513+E1514+E1515+E1516+E1517)</f>
        <v>0</v>
      </c>
    </row>
    <row r="1519" spans="1:5" x14ac:dyDescent="0.2">
      <c r="A1519" s="522" t="s">
        <v>990</v>
      </c>
      <c r="B1519" s="522" t="s">
        <v>990</v>
      </c>
      <c r="C1519" s="522">
        <v>4000</v>
      </c>
      <c r="D1519" s="522">
        <v>6800</v>
      </c>
      <c r="E1519" s="523">
        <f>SUMIFS('Accounting data'!G$2:G$37002,'Accounting data'!J$2:J$37002,"4*",'Accounting data'!K$2:K$37002,"68*")</f>
        <v>0</v>
      </c>
    </row>
    <row r="1520" spans="1:5" x14ac:dyDescent="0.2">
      <c r="A1520" s="522" t="s">
        <v>991</v>
      </c>
      <c r="B1520" s="522" t="s">
        <v>990</v>
      </c>
      <c r="C1520" s="522">
        <v>4000</v>
      </c>
      <c r="D1520" s="522">
        <v>6800</v>
      </c>
      <c r="E1520" s="523">
        <f t="array" ref="E1520">SUMIFS('Accounting data'!$G$2:$G$37002,'Accounting data'!$H$2:$H$37002,"9999*",'Accounting data'!$J$2:$J$37002,"4*",'Accounting data'!$K$2:$K$37002,"68*")</f>
        <v>0</v>
      </c>
    </row>
    <row r="1521" spans="1:5" x14ac:dyDescent="0.2">
      <c r="A1521" s="522" t="s">
        <v>990</v>
      </c>
      <c r="B1521" s="522" t="s">
        <v>992</v>
      </c>
      <c r="C1521" s="522">
        <v>4000</v>
      </c>
      <c r="D1521" s="522">
        <v>6800</v>
      </c>
      <c r="E1521" s="523">
        <f t="array" ref="E1521">SUMIFS('Accounting data'!$G$2:$G$37002,'Accounting data'!$I$2:$I$37002,"7*",'Accounting data'!$J$2:$J$37002,"4*",'Accounting data'!$K$2:$K$37002,"68*")+SUMIFS('Accounting data'!$G$2:$G$37002,'Accounting data'!$I$2:$I$37002,"8*",'Accounting data'!$J$2:$J$37002,"4*",'Accounting data'!$K$2:$K$37002,"68*")+SUMIFS('Accounting data'!$G$2:$G$37002,'Accounting data'!$I$2:$I$37002,"9*",'Accounting data'!$J$2:$J$37002,"4*",'Accounting data'!$K$2:$K$37002,"68*")</f>
        <v>0</v>
      </c>
    </row>
    <row r="1522" spans="1:5" x14ac:dyDescent="0.2">
      <c r="A1522" s="524" t="s">
        <v>991</v>
      </c>
      <c r="B1522" s="522" t="s">
        <v>992</v>
      </c>
      <c r="C1522" s="522">
        <v>4000</v>
      </c>
      <c r="D1522" s="522">
        <v>6800</v>
      </c>
      <c r="E1522" s="523">
        <f t="array" ref="E1522">SUMIFS('Accounting data'!$G$2:$G$37002,'Accounting data'!$H$2:$H$37002,"9999*",'Accounting data'!$I$2:$I$37002,"7*",'Accounting data'!$J$2:$J$37002,"4*",'Accounting data'!$K$2:$K$37002,"68*")+SUMIFS('Accounting data'!$G$2:$G$37002,'Accounting data'!$H$2:$H$37002,"9999*",'Accounting data'!$I$2:$I$37002,"8*",'Accounting data'!$J$2:$J$37002,"4*",'Accounting data'!$K$2:$K$37002,"68*")+SUMIFS('Accounting data'!$G$2:$G$37002,'Accounting data'!$H$2:$H$37002,"9999*",'Accounting data'!$I$2:$I$37002,"9*",'Accounting data'!$J$2:$J$37002,"4*",'Accounting data'!$K$2:$K$37002,"68*")</f>
        <v>0</v>
      </c>
    </row>
    <row r="1523" spans="1:5" ht="15" x14ac:dyDescent="0.25">
      <c r="A1523" s="525" t="s">
        <v>1118</v>
      </c>
      <c r="B1523" s="525"/>
      <c r="C1523" s="525"/>
      <c r="D1523" s="525"/>
      <c r="E1523" s="526">
        <f>(E1519-E1520-E1521)+E1522</f>
        <v>0</v>
      </c>
    </row>
    <row r="1524" spans="1:5" x14ac:dyDescent="0.2">
      <c r="A1524" s="522" t="s">
        <v>990</v>
      </c>
      <c r="B1524" s="522" t="s">
        <v>990</v>
      </c>
      <c r="C1524" s="522">
        <v>1900</v>
      </c>
      <c r="D1524" s="522">
        <v>6100</v>
      </c>
      <c r="E1524" s="523">
        <f>SUMIFS('Accounting data'!$G$2:$G$37002,'Accounting data'!$J$2:$J$37002,"19*",'Accounting data'!$K$2:$K$37002,"61*")</f>
        <v>0</v>
      </c>
    </row>
    <row r="1525" spans="1:5" x14ac:dyDescent="0.2">
      <c r="A1525" s="522" t="s">
        <v>991</v>
      </c>
      <c r="B1525" s="522" t="s">
        <v>990</v>
      </c>
      <c r="C1525" s="522">
        <v>1900</v>
      </c>
      <c r="D1525" s="522">
        <v>6100</v>
      </c>
      <c r="E1525" s="523">
        <f>SUMIFS('Accounting data'!$G$2:$G$37002,'Accounting data'!$H$2:$H$37002,"9999*",'Accounting data'!$J$2:$J$37002,"19*",'Accounting data'!$K$2:$K$37002,"61*")</f>
        <v>0</v>
      </c>
    </row>
    <row r="1526" spans="1:5" x14ac:dyDescent="0.2">
      <c r="A1526" s="522" t="s">
        <v>990</v>
      </c>
      <c r="B1526" s="522" t="s">
        <v>992</v>
      </c>
      <c r="C1526" s="522">
        <v>1900</v>
      </c>
      <c r="D1526" s="522">
        <v>6100</v>
      </c>
      <c r="E1526" s="523">
        <f>SUMIFS('Accounting data'!$G$2:$G$37002,'Accounting data'!$I$2:$I$37002,"7*",'Accounting data'!$J$2:$J$37002,"19*",'Accounting data'!$K$2:$K$37002,"61*")+SUMIFS('Accounting data'!$G$2:$G$37002,'Accounting data'!$I$2:$I$37002,"8*",'Accounting data'!$J$2:$J$37002,"19*",'Accounting data'!$K$2:$K$37002,"61*")+SUMIFS('Accounting data'!$G$2:$G$37002,'Accounting data'!$I$2:$I$37002,"9*",'Accounting data'!$J$2:$J$37002,"19*",'Accounting data'!$K$2:$K$37002,"61*")</f>
        <v>0</v>
      </c>
    </row>
    <row r="1527" spans="1:5" x14ac:dyDescent="0.2">
      <c r="A1527" s="524" t="s">
        <v>991</v>
      </c>
      <c r="B1527" s="522" t="s">
        <v>992</v>
      </c>
      <c r="C1527" s="522">
        <v>1900</v>
      </c>
      <c r="D1527" s="522">
        <v>6100</v>
      </c>
      <c r="E1527" s="523">
        <f>SUMIFS('Accounting data'!$G$2:$G$37002,'Accounting data'!$H$2:$H$37002,"9999*",'Accounting data'!$I$2:$I$37002,"7*",'Accounting data'!$J$2:$J$37002,"19*",'Accounting data'!$K$2:$K$37002,"61*")+SUMIFS('Accounting data'!$G$2:$G$37002,'Accounting data'!$H$2:$H$37002,"9999*",'Accounting data'!$I$2:$I$37002,"8*",'Accounting data'!$J$2:$J$37002,"19*",'Accounting data'!$K$2:$K$37002,"61*")+SUMIFS('Accounting data'!$G$2:$G$37002,'Accounting data'!$H$2:$H$37002,"9999*",'Accounting data'!$I$2:$I$37002,"9*",'Accounting data'!$J$2:$J$37002,"19*",'Accounting data'!$K$2:$K$37002,"61*")</f>
        <v>0</v>
      </c>
    </row>
    <row r="1528" spans="1:5" x14ac:dyDescent="0.2">
      <c r="A1528" s="525" t="s">
        <v>1119</v>
      </c>
      <c r="B1528" s="525"/>
      <c r="C1528" s="525"/>
      <c r="D1528" s="525"/>
      <c r="E1528" s="535">
        <f>(E1524-E1525-E1526)+E1527</f>
        <v>0</v>
      </c>
    </row>
    <row r="1529" spans="1:5" x14ac:dyDescent="0.2">
      <c r="A1529" s="522" t="s">
        <v>1006</v>
      </c>
      <c r="B1529" s="522" t="s">
        <v>990</v>
      </c>
      <c r="C1529" s="522">
        <v>1900</v>
      </c>
      <c r="D1529" s="522">
        <v>6100</v>
      </c>
      <c r="E1529" s="523">
        <f t="array" ref="E1529">SUMIFS('Accounting data'!$G$2:$G$37002,'Accounting data'!$H$2:$H$37002,"11*",'Accounting data'!$J$2:$J$37002,"19*",'Accounting data'!$K$2:$K$37002,"61*")+SUMIFS('Accounting data'!$G$2:$G$37002,'Accounting data'!$H$2:$H$37002,"12*",'Accounting data'!$J$2:$J$37002,"19*",'Accounting data'!$K$2:$K$37002,"61*")+SUMIFS('Accounting data'!$G$2:$G$37002,'Accounting data'!$H$2:$H$37002,"13*",'Accounting data'!$J$2:$J$37002,"19*",'Accounting data'!$K$2:$K$37002,"61*")</f>
        <v>0</v>
      </c>
    </row>
    <row r="1530" spans="1:5" x14ac:dyDescent="0.2">
      <c r="A1530" s="522" t="s">
        <v>1006</v>
      </c>
      <c r="B1530" s="524">
        <v>700</v>
      </c>
      <c r="C1530" s="522">
        <v>1900</v>
      </c>
      <c r="D1530" s="522">
        <v>6100</v>
      </c>
      <c r="E1530" s="523">
        <f t="array" ref="E1530">SUMIFS('Accounting data'!$G$2:$G$37002,'Accounting data'!$H$2:$H$37002,"11*",'Accounting data'!$I$2:$I$37002,"7*",'Accounting data'!$J$2:$J$37002,"19*",'Accounting data'!$K$2:$K$37002,"61*")+SUMIFS('Accounting data'!$G$2:$G$37002,'Accounting data'!$H$2:$H$37002,"12*",'Accounting data'!$I$2:$I$37002,"7*",'Accounting data'!$J$2:$J$37002,"19*",'Accounting data'!$K$2:$K$37002,"61*")+SUMIFS('Accounting data'!$G$2:$G$37002,'Accounting data'!$H$2:$H$37002,"13*",'Accounting data'!$I$2:$I$37002,"7*",'Accounting data'!$J$2:$J$37002,"19*",'Accounting data'!$K$2:$K$37002,"61*")</f>
        <v>0</v>
      </c>
    </row>
    <row r="1531" spans="1:5" x14ac:dyDescent="0.2">
      <c r="A1531" s="522" t="s">
        <v>1006</v>
      </c>
      <c r="B1531" s="524">
        <v>800</v>
      </c>
      <c r="C1531" s="522">
        <v>1900</v>
      </c>
      <c r="D1531" s="522">
        <v>6100</v>
      </c>
      <c r="E1531" s="523">
        <f t="array" ref="E1531">SUMIFS('Accounting data'!$G$2:$G$37002,'Accounting data'!$H$2:$H$37002,"11*",'Accounting data'!$I$2:$I$37002,"8*",'Accounting data'!$J$2:$J$37002,"19*",'Accounting data'!$K$2:$K$37002,"61*")+SUMIFS('Accounting data'!$G$2:$G$37002,'Accounting data'!$H$2:$H$37002,"12*",'Accounting data'!$I$2:$I$37002,"8*",'Accounting data'!$J$2:$J$37002,"19*",'Accounting data'!$K$2:$K$37002,"61*")+SUMIFS('Accounting data'!$G$2:$G$37002,'Accounting data'!$H$2:$H$37002,"13*",'Accounting data'!$I$2:$I$37002,"8*",'Accounting data'!$J$2:$J$37002,"19*",'Accounting data'!$K$2:$K$37002,"61*")</f>
        <v>0</v>
      </c>
    </row>
    <row r="1532" spans="1:5" x14ac:dyDescent="0.2">
      <c r="A1532" s="522" t="s">
        <v>1006</v>
      </c>
      <c r="B1532" s="524">
        <v>900</v>
      </c>
      <c r="C1532" s="522">
        <v>1900</v>
      </c>
      <c r="D1532" s="522">
        <v>6100</v>
      </c>
      <c r="E1532" s="523">
        <f t="array" ref="E1532">SUMIFS('Accounting data'!$G$2:$G$37002,'Accounting data'!$H$2:$H$37002,"11*",'Accounting data'!$I$2:$I$37002,"9*",'Accounting data'!$J$2:$J$37002,"19*",'Accounting data'!$K$2:$K$37002,"61*")+SUMIFS('Accounting data'!$G$2:$G$37002,'Accounting data'!$H$2:$H$37002,"12*",'Accounting data'!$I$2:$I$37002,"9*",'Accounting data'!$J$2:$J$37002,"19*",'Accounting data'!$K$2:$K$37002,"61*")+SUMIFS('Accounting data'!$G$2:$G$37002,'Accounting data'!$H$2:$H$37002,"13*",'Accounting data'!$I$2:$I$37002,"9*",'Accounting data'!$J$2:$J$37002,"19*",'Accounting data'!$K$2:$K$37002,"61*")</f>
        <v>0</v>
      </c>
    </row>
    <row r="1533" spans="1:5" x14ac:dyDescent="0.2">
      <c r="A1533" s="525" t="s">
        <v>1120</v>
      </c>
      <c r="B1533" s="525"/>
      <c r="C1533" s="525"/>
      <c r="D1533" s="525"/>
      <c r="E1533" s="535">
        <f>E1529-(E1530+E1531+E1532)</f>
        <v>0</v>
      </c>
    </row>
    <row r="1534" spans="1:5" x14ac:dyDescent="0.2">
      <c r="A1534" s="528" t="s">
        <v>1121</v>
      </c>
      <c r="B1534" s="528"/>
      <c r="C1534" s="528"/>
      <c r="D1534" s="528"/>
      <c r="E1534" s="532">
        <f>E1528-E1533</f>
        <v>0</v>
      </c>
    </row>
    <row r="1535" spans="1:5" x14ac:dyDescent="0.2">
      <c r="A1535" s="536" t="s">
        <v>990</v>
      </c>
      <c r="B1535" s="536" t="s">
        <v>990</v>
      </c>
      <c r="C1535" s="536">
        <v>5000</v>
      </c>
      <c r="D1535" s="536">
        <v>6800</v>
      </c>
      <c r="E1535" s="537">
        <f>SUMIFS('Accounting data'!G$2:G$37002,'Accounting data'!J$2:J$37002,"5*",'Accounting data'!K$2:K$37002,"68*")</f>
        <v>4791569</v>
      </c>
    </row>
    <row r="1536" spans="1:5" x14ac:dyDescent="0.2">
      <c r="A1536" s="536" t="s">
        <v>991</v>
      </c>
      <c r="B1536" s="536" t="s">
        <v>990</v>
      </c>
      <c r="C1536" s="536">
        <v>5000</v>
      </c>
      <c r="D1536" s="536">
        <v>6800</v>
      </c>
      <c r="E1536" s="537">
        <f>SUMIFS('Accounting data'!$G$2:$G$37002,'Accounting data'!$H$2:$H$37002,"9999*",'Accounting data'!$J$2:$J$37002,"5*",'Accounting data'!$K$2:$K$37002,"68*")</f>
        <v>0</v>
      </c>
    </row>
    <row r="1537" spans="1:5" x14ac:dyDescent="0.2">
      <c r="A1537" s="536" t="s">
        <v>990</v>
      </c>
      <c r="B1537" s="536" t="s">
        <v>992</v>
      </c>
      <c r="C1537" s="536">
        <v>5000</v>
      </c>
      <c r="D1537" s="536">
        <v>6800</v>
      </c>
      <c r="E1537" s="537">
        <f>SUMIFS('Accounting data'!$G$2:$G$37002,'Accounting data'!$I$2:$I$37002,"7*",'Accounting data'!$J$2:$J$37002,"5*",'Accounting data'!$K$2:$K$37002,"68*")+SUMIFS('Accounting data'!$G$2:$G$37002,'Accounting data'!$I$2:$I$37002,"8*",'Accounting data'!$J$2:$J$37002,"5*",'Accounting data'!$K$2:$K$37002,"68*")+SUMIFS('Accounting data'!$G$2:$G$37002,'Accounting data'!$I$2:$I$37002,"9*",'Accounting data'!$J$2:$J$37002,"5*",'Accounting data'!$K$2:$K$37002,"68*")</f>
        <v>0</v>
      </c>
    </row>
    <row r="1538" spans="1:5" x14ac:dyDescent="0.2">
      <c r="A1538" s="538" t="s">
        <v>991</v>
      </c>
      <c r="B1538" s="536" t="s">
        <v>992</v>
      </c>
      <c r="C1538" s="536">
        <v>5000</v>
      </c>
      <c r="D1538" s="536">
        <v>6800</v>
      </c>
      <c r="E1538" s="537">
        <f>SUMIFS('Accounting data'!$G$2:$G$37002,'Accounting data'!$H$2:$H$37002,"9999*",'Accounting data'!$I$2:$I$37002,"7*",'Accounting data'!$J$2:$J$37002,"5*",'Accounting data'!$K$2:$K$37002,"68*")+SUMIFS('Accounting data'!$G$2:$G$37002,'Accounting data'!$H$2:$H$37002,"9999*",'Accounting data'!$I$2:$I$37002,"8*",'Accounting data'!$J$2:$J$37002,"5*",'Accounting data'!$K$2:$K$37002,"68*")+SUMIFS('Accounting data'!$G$2:$G$37002,'Accounting data'!$H$2:$H$37002,"9999*",'Accounting data'!$I$2:$I$37002,"9*",'Accounting data'!$J$2:$J$37002,"5*",'Accounting data'!$K$2:$K$37002,"68*")</f>
        <v>0</v>
      </c>
    </row>
    <row r="1539" spans="1:5" ht="15" x14ac:dyDescent="0.25">
      <c r="A1539" s="539" t="s">
        <v>1122</v>
      </c>
      <c r="B1539" s="539"/>
      <c r="C1539" s="539"/>
      <c r="D1539" s="539"/>
      <c r="E1539" s="526">
        <f>(E1535-E1536-E1537)+E1538</f>
        <v>4791569</v>
      </c>
    </row>
  </sheetData>
  <sheetProtection sheet="1" objects="1" scenarios="1"/>
  <autoFilter ref="A1:E1534"/>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141"/>
  <sheetViews>
    <sheetView showGridLines="0" topLeftCell="A121" workbookViewId="0">
      <selection activeCell="C43" sqref="C43"/>
    </sheetView>
  </sheetViews>
  <sheetFormatPr defaultColWidth="9.33203125" defaultRowHeight="12.75" x14ac:dyDescent="0.2"/>
  <cols>
    <col min="1" max="1" width="11.83203125" style="154" customWidth="1"/>
    <col min="2" max="2" width="25" style="154" customWidth="1"/>
    <col min="3" max="3" width="112.1640625" style="154" customWidth="1"/>
    <col min="4" max="4" width="32.6640625" style="515" customWidth="1"/>
    <col min="5" max="5" width="9.33203125" style="154" customWidth="1"/>
    <col min="6" max="6" width="17.6640625" style="154" customWidth="1"/>
    <col min="7" max="10" width="9.33203125" style="154" customWidth="1"/>
    <col min="11" max="16384" width="9.33203125" style="154"/>
  </cols>
  <sheetData>
    <row r="1" spans="1:4" ht="24.75" customHeight="1" x14ac:dyDescent="0.2">
      <c r="A1" s="702" t="s">
        <v>722</v>
      </c>
      <c r="B1" s="702" t="s">
        <v>723</v>
      </c>
      <c r="C1" s="702" t="s">
        <v>724</v>
      </c>
      <c r="D1" s="702" t="s">
        <v>725</v>
      </c>
    </row>
    <row r="2" spans="1:4" ht="65.25" customHeight="1" x14ac:dyDescent="0.2">
      <c r="A2" s="991" t="s">
        <v>726</v>
      </c>
      <c r="B2" s="992"/>
      <c r="C2" s="703" t="s">
        <v>727</v>
      </c>
      <c r="D2" s="704"/>
    </row>
    <row r="3" spans="1:4" ht="68.25" customHeight="1" x14ac:dyDescent="0.2">
      <c r="A3" s="993"/>
      <c r="B3" s="994"/>
      <c r="C3" s="705" t="s">
        <v>728</v>
      </c>
      <c r="D3" s="704"/>
    </row>
    <row r="4" spans="1:4" ht="73.5" customHeight="1" x14ac:dyDescent="0.2">
      <c r="A4" s="993"/>
      <c r="B4" s="994"/>
      <c r="C4" s="706" t="s">
        <v>1123</v>
      </c>
      <c r="D4" s="704"/>
    </row>
    <row r="5" spans="1:4" ht="216.75" customHeight="1" x14ac:dyDescent="0.2">
      <c r="A5" s="993"/>
      <c r="B5" s="994"/>
      <c r="C5" s="707" t="s">
        <v>1342</v>
      </c>
      <c r="D5" s="704"/>
    </row>
    <row r="6" spans="1:4" ht="85.5" customHeight="1" x14ac:dyDescent="0.2">
      <c r="A6" s="995"/>
      <c r="B6" s="996"/>
      <c r="C6" s="706" t="s">
        <v>729</v>
      </c>
      <c r="D6" s="704"/>
    </row>
    <row r="7" spans="1:4" ht="54.4" customHeight="1" x14ac:dyDescent="0.2">
      <c r="A7" s="510" t="s">
        <v>730</v>
      </c>
      <c r="B7" s="708" t="s">
        <v>731</v>
      </c>
      <c r="C7" s="706" t="s">
        <v>732</v>
      </c>
      <c r="D7" s="704"/>
    </row>
    <row r="8" spans="1:4" ht="93" customHeight="1" x14ac:dyDescent="0.2">
      <c r="A8" s="510" t="s">
        <v>730</v>
      </c>
      <c r="B8" s="709" t="s">
        <v>1284</v>
      </c>
      <c r="C8" s="688" t="s">
        <v>1293</v>
      </c>
      <c r="D8" s="710" t="s">
        <v>1294</v>
      </c>
    </row>
    <row r="9" spans="1:4" ht="187.5" customHeight="1" x14ac:dyDescent="0.2">
      <c r="A9" s="511" t="s">
        <v>733</v>
      </c>
      <c r="B9" s="708" t="s">
        <v>731</v>
      </c>
      <c r="C9" s="707" t="s">
        <v>1343</v>
      </c>
      <c r="D9" s="704"/>
    </row>
    <row r="10" spans="1:4" ht="190.15" customHeight="1" x14ac:dyDescent="0.2">
      <c r="A10" s="997" t="s">
        <v>734</v>
      </c>
      <c r="B10" s="999" t="s">
        <v>726</v>
      </c>
      <c r="C10" s="705" t="s">
        <v>735</v>
      </c>
      <c r="D10" s="704"/>
    </row>
    <row r="11" spans="1:4" ht="217.5" customHeight="1" x14ac:dyDescent="0.2">
      <c r="A11" s="998"/>
      <c r="B11" s="1000"/>
      <c r="C11" s="711" t="s">
        <v>1285</v>
      </c>
      <c r="D11" s="704"/>
    </row>
    <row r="12" spans="1:4" ht="21" customHeight="1" x14ac:dyDescent="0.2">
      <c r="A12" s="512">
        <v>1</v>
      </c>
      <c r="B12" s="712" t="s">
        <v>726</v>
      </c>
      <c r="C12" s="706" t="s">
        <v>736</v>
      </c>
      <c r="D12" s="704"/>
    </row>
    <row r="13" spans="1:4" ht="54" customHeight="1" x14ac:dyDescent="0.2">
      <c r="A13" s="513">
        <v>1</v>
      </c>
      <c r="B13" s="712" t="s">
        <v>737</v>
      </c>
      <c r="C13" s="713" t="s">
        <v>1344</v>
      </c>
      <c r="D13" s="704"/>
    </row>
    <row r="14" spans="1:4" ht="122.25" customHeight="1" x14ac:dyDescent="0.2">
      <c r="A14" s="513">
        <v>1</v>
      </c>
      <c r="B14" s="714" t="s">
        <v>1345</v>
      </c>
      <c r="C14" s="715" t="s">
        <v>738</v>
      </c>
      <c r="D14" s="704"/>
    </row>
    <row r="15" spans="1:4" ht="69.75" customHeight="1" x14ac:dyDescent="0.2">
      <c r="A15" s="513">
        <v>1</v>
      </c>
      <c r="B15" s="714" t="s">
        <v>1346</v>
      </c>
      <c r="C15" s="716" t="s">
        <v>1347</v>
      </c>
      <c r="D15" s="704"/>
    </row>
    <row r="16" spans="1:4" ht="69.75" customHeight="1" x14ac:dyDescent="0.2">
      <c r="A16" s="513">
        <v>1</v>
      </c>
      <c r="B16" s="714" t="s">
        <v>1348</v>
      </c>
      <c r="C16" s="715" t="s">
        <v>739</v>
      </c>
      <c r="D16" s="704"/>
    </row>
    <row r="17" spans="1:4" ht="129" customHeight="1" x14ac:dyDescent="0.2">
      <c r="A17" s="512">
        <v>2</v>
      </c>
      <c r="B17" s="717" t="s">
        <v>740</v>
      </c>
      <c r="C17" s="715" t="s">
        <v>741</v>
      </c>
      <c r="D17" s="706"/>
    </row>
    <row r="18" spans="1:4" ht="54.75" customHeight="1" x14ac:dyDescent="0.2">
      <c r="A18" s="512">
        <v>2</v>
      </c>
      <c r="B18" s="717" t="s">
        <v>742</v>
      </c>
      <c r="C18" s="718" t="s">
        <v>1353</v>
      </c>
      <c r="D18" s="704"/>
    </row>
    <row r="19" spans="1:4" ht="84" customHeight="1" x14ac:dyDescent="0.2">
      <c r="A19" s="590">
        <v>3</v>
      </c>
      <c r="B19" s="717" t="s">
        <v>162</v>
      </c>
      <c r="C19" s="719" t="s">
        <v>743</v>
      </c>
      <c r="D19" s="720"/>
    </row>
    <row r="20" spans="1:4" ht="54" customHeight="1" x14ac:dyDescent="0.2">
      <c r="A20" s="590">
        <v>3</v>
      </c>
      <c r="B20" s="717" t="s">
        <v>744</v>
      </c>
      <c r="C20" s="719" t="s">
        <v>745</v>
      </c>
      <c r="D20" s="721"/>
    </row>
    <row r="21" spans="1:4" ht="42.75" customHeight="1" x14ac:dyDescent="0.2">
      <c r="A21" s="591">
        <v>3</v>
      </c>
      <c r="B21" s="717" t="s">
        <v>746</v>
      </c>
      <c r="C21" s="719" t="s">
        <v>747</v>
      </c>
      <c r="D21" s="721"/>
    </row>
    <row r="22" spans="1:4" ht="69.75" customHeight="1" x14ac:dyDescent="0.2">
      <c r="A22" s="646">
        <v>3</v>
      </c>
      <c r="B22" s="717" t="s">
        <v>748</v>
      </c>
      <c r="C22" s="719" t="s">
        <v>1143</v>
      </c>
      <c r="D22" s="720"/>
    </row>
    <row r="23" spans="1:4" ht="51" customHeight="1" x14ac:dyDescent="0.2">
      <c r="A23" s="646">
        <v>3</v>
      </c>
      <c r="B23" s="709" t="s">
        <v>836</v>
      </c>
      <c r="C23" s="689" t="s">
        <v>1349</v>
      </c>
      <c r="D23" s="722" t="s">
        <v>1380</v>
      </c>
    </row>
    <row r="24" spans="1:4" ht="124.5" customHeight="1" x14ac:dyDescent="0.2">
      <c r="A24" s="590">
        <v>4</v>
      </c>
      <c r="B24" s="717" t="s">
        <v>749</v>
      </c>
      <c r="C24" s="715" t="s">
        <v>750</v>
      </c>
      <c r="D24" s="723"/>
    </row>
    <row r="25" spans="1:4" ht="52.9" customHeight="1" x14ac:dyDescent="0.2">
      <c r="A25" s="646">
        <v>4</v>
      </c>
      <c r="B25" s="709" t="s">
        <v>836</v>
      </c>
      <c r="C25" s="689" t="s">
        <v>1350</v>
      </c>
      <c r="D25" s="710" t="s">
        <v>1381</v>
      </c>
    </row>
    <row r="26" spans="1:4" ht="58.9" customHeight="1" x14ac:dyDescent="0.2">
      <c r="A26" s="646">
        <v>5</v>
      </c>
      <c r="B26" s="709" t="s">
        <v>836</v>
      </c>
      <c r="C26" s="689" t="s">
        <v>1351</v>
      </c>
      <c r="D26" s="710" t="s">
        <v>1382</v>
      </c>
    </row>
    <row r="27" spans="1:4" ht="99.75" customHeight="1" x14ac:dyDescent="0.2">
      <c r="A27" s="590">
        <v>6</v>
      </c>
      <c r="B27" s="717" t="s">
        <v>751</v>
      </c>
      <c r="C27" s="724" t="s">
        <v>1352</v>
      </c>
      <c r="D27" s="704"/>
    </row>
    <row r="28" spans="1:4" ht="93.75" customHeight="1" x14ac:dyDescent="0.2">
      <c r="A28" s="590">
        <v>6</v>
      </c>
      <c r="B28" s="717" t="s">
        <v>752</v>
      </c>
      <c r="C28" s="716" t="s">
        <v>1373</v>
      </c>
      <c r="D28" s="704"/>
    </row>
    <row r="29" spans="1:4" ht="45.75" customHeight="1" x14ac:dyDescent="0.2">
      <c r="A29" s="590">
        <v>6</v>
      </c>
      <c r="B29" s="717" t="s">
        <v>753</v>
      </c>
      <c r="C29" s="716" t="s">
        <v>1354</v>
      </c>
      <c r="D29" s="704"/>
    </row>
    <row r="30" spans="1:4" ht="111" customHeight="1" x14ac:dyDescent="0.2">
      <c r="A30" s="590">
        <v>6</v>
      </c>
      <c r="B30" s="717" t="s">
        <v>754</v>
      </c>
      <c r="C30" s="716" t="s">
        <v>1374</v>
      </c>
      <c r="D30" s="704"/>
    </row>
    <row r="31" spans="1:4" ht="51" x14ac:dyDescent="0.2">
      <c r="A31" s="590">
        <v>6</v>
      </c>
      <c r="B31" s="717" t="s">
        <v>755</v>
      </c>
      <c r="C31" s="716" t="s">
        <v>1355</v>
      </c>
      <c r="D31" s="704"/>
    </row>
    <row r="32" spans="1:4" ht="173.25" customHeight="1" x14ac:dyDescent="0.2">
      <c r="A32" s="590">
        <v>6</v>
      </c>
      <c r="B32" s="717" t="s">
        <v>756</v>
      </c>
      <c r="C32" s="715" t="s">
        <v>757</v>
      </c>
      <c r="D32" s="704"/>
    </row>
    <row r="33" spans="1:4" ht="69.75" customHeight="1" x14ac:dyDescent="0.2">
      <c r="A33" s="590">
        <v>6</v>
      </c>
      <c r="B33" s="725" t="s">
        <v>758</v>
      </c>
      <c r="C33" s="715" t="s">
        <v>759</v>
      </c>
      <c r="D33" s="704"/>
    </row>
    <row r="34" spans="1:4" ht="53.25" customHeight="1" x14ac:dyDescent="0.2">
      <c r="A34" s="590">
        <v>6</v>
      </c>
      <c r="B34" s="726" t="s">
        <v>1255</v>
      </c>
      <c r="C34" s="727" t="s">
        <v>760</v>
      </c>
      <c r="D34" s="728"/>
    </row>
    <row r="35" spans="1:4" ht="77.25" customHeight="1" x14ac:dyDescent="0.2">
      <c r="A35" s="590">
        <v>6</v>
      </c>
      <c r="B35" s="717" t="s">
        <v>761</v>
      </c>
      <c r="C35" s="703" t="s">
        <v>762</v>
      </c>
      <c r="D35" s="704"/>
    </row>
    <row r="36" spans="1:4" ht="45.75" customHeight="1" x14ac:dyDescent="0.2">
      <c r="A36" s="590">
        <v>6</v>
      </c>
      <c r="B36" s="717" t="s">
        <v>763</v>
      </c>
      <c r="C36" s="715" t="s">
        <v>764</v>
      </c>
      <c r="D36" s="704"/>
    </row>
    <row r="37" spans="1:4" ht="47.25" customHeight="1" x14ac:dyDescent="0.2">
      <c r="A37" s="590">
        <v>6</v>
      </c>
      <c r="B37" s="717" t="s">
        <v>765</v>
      </c>
      <c r="C37" s="715" t="s">
        <v>766</v>
      </c>
      <c r="D37" s="704"/>
    </row>
    <row r="38" spans="1:4" ht="38.25" x14ac:dyDescent="0.2">
      <c r="A38" s="590">
        <v>6</v>
      </c>
      <c r="B38" s="717" t="s">
        <v>767</v>
      </c>
      <c r="C38" s="715" t="s">
        <v>768</v>
      </c>
      <c r="D38" s="704"/>
    </row>
    <row r="39" spans="1:4" ht="38.25" x14ac:dyDescent="0.2">
      <c r="A39" s="590">
        <v>6</v>
      </c>
      <c r="B39" s="717" t="s">
        <v>769</v>
      </c>
      <c r="C39" s="715" t="s">
        <v>770</v>
      </c>
      <c r="D39" s="704"/>
    </row>
    <row r="40" spans="1:4" s="157" customFormat="1" ht="38.25" x14ac:dyDescent="0.2">
      <c r="A40" s="590">
        <v>6</v>
      </c>
      <c r="B40" s="725" t="s">
        <v>771</v>
      </c>
      <c r="C40" s="715" t="s">
        <v>772</v>
      </c>
      <c r="D40" s="721"/>
    </row>
    <row r="41" spans="1:4" s="157" customFormat="1" ht="57.75" customHeight="1" x14ac:dyDescent="0.2">
      <c r="A41" s="590">
        <v>6</v>
      </c>
      <c r="B41" s="725" t="s">
        <v>773</v>
      </c>
      <c r="C41" s="716" t="s">
        <v>1356</v>
      </c>
      <c r="D41" s="729"/>
    </row>
    <row r="42" spans="1:4" s="157" customFormat="1" ht="30.75" customHeight="1" x14ac:dyDescent="0.2">
      <c r="A42" s="590">
        <v>7</v>
      </c>
      <c r="B42" s="717" t="s">
        <v>774</v>
      </c>
      <c r="C42" s="715" t="s">
        <v>775</v>
      </c>
      <c r="D42" s="721"/>
    </row>
    <row r="43" spans="1:4" ht="114.75" customHeight="1" x14ac:dyDescent="0.2">
      <c r="A43" s="590">
        <v>7</v>
      </c>
      <c r="B43" s="717" t="s">
        <v>776</v>
      </c>
      <c r="C43" s="703" t="s">
        <v>777</v>
      </c>
      <c r="D43" s="704"/>
    </row>
    <row r="44" spans="1:4" ht="42" customHeight="1" x14ac:dyDescent="0.2">
      <c r="A44" s="590">
        <v>7</v>
      </c>
      <c r="B44" s="717" t="s">
        <v>778</v>
      </c>
      <c r="C44" s="706" t="s">
        <v>779</v>
      </c>
      <c r="D44" s="704"/>
    </row>
    <row r="45" spans="1:4" ht="39.75" customHeight="1" x14ac:dyDescent="0.2">
      <c r="A45" s="590">
        <v>7</v>
      </c>
      <c r="B45" s="717" t="s">
        <v>780</v>
      </c>
      <c r="C45" s="715" t="s">
        <v>781</v>
      </c>
      <c r="D45" s="704"/>
    </row>
    <row r="46" spans="1:4" ht="54" customHeight="1" x14ac:dyDescent="0.2">
      <c r="A46" s="590">
        <v>8</v>
      </c>
      <c r="B46" s="717" t="s">
        <v>836</v>
      </c>
      <c r="C46" s="713" t="s">
        <v>1357</v>
      </c>
      <c r="D46" s="704"/>
    </row>
    <row r="47" spans="1:4" ht="114" customHeight="1" x14ac:dyDescent="0.2">
      <c r="A47" s="590">
        <v>8</v>
      </c>
      <c r="B47" s="717" t="s">
        <v>307</v>
      </c>
      <c r="C47" s="730" t="s">
        <v>1142</v>
      </c>
      <c r="D47" s="730"/>
    </row>
    <row r="48" spans="1:4" ht="114.75" customHeight="1" x14ac:dyDescent="0.2">
      <c r="A48" s="590">
        <v>8</v>
      </c>
      <c r="B48" s="717" t="s">
        <v>782</v>
      </c>
      <c r="C48" s="715" t="s">
        <v>783</v>
      </c>
      <c r="D48" s="731"/>
    </row>
    <row r="49" spans="1:4" ht="30" customHeight="1" x14ac:dyDescent="0.2">
      <c r="A49" s="590">
        <v>8</v>
      </c>
      <c r="B49" s="717" t="s">
        <v>1141</v>
      </c>
      <c r="C49" s="706" t="s">
        <v>784</v>
      </c>
      <c r="D49" s="704"/>
    </row>
    <row r="50" spans="1:4" ht="265.5" customHeight="1" x14ac:dyDescent="0.2">
      <c r="A50" s="590">
        <v>9</v>
      </c>
      <c r="B50" s="717" t="s">
        <v>726</v>
      </c>
      <c r="C50" s="716" t="s">
        <v>1358</v>
      </c>
      <c r="D50" s="704"/>
    </row>
    <row r="51" spans="1:4" ht="69" customHeight="1" x14ac:dyDescent="0.2">
      <c r="A51" s="590">
        <v>9</v>
      </c>
      <c r="B51" s="717" t="s">
        <v>159</v>
      </c>
      <c r="C51" s="706" t="s">
        <v>1147</v>
      </c>
      <c r="D51" s="704"/>
    </row>
    <row r="52" spans="1:4" ht="69.75" customHeight="1" x14ac:dyDescent="0.2">
      <c r="A52" s="590">
        <v>9</v>
      </c>
      <c r="B52" s="725" t="s">
        <v>389</v>
      </c>
      <c r="C52" s="703" t="s">
        <v>1148</v>
      </c>
      <c r="D52" s="704"/>
    </row>
    <row r="53" spans="1:4" ht="53.25" customHeight="1" x14ac:dyDescent="0.2">
      <c r="A53" s="590">
        <v>9</v>
      </c>
      <c r="B53" s="717" t="s">
        <v>398</v>
      </c>
      <c r="C53" s="732" t="s">
        <v>1149</v>
      </c>
      <c r="D53" s="704"/>
    </row>
    <row r="54" spans="1:4" ht="107.25" customHeight="1" x14ac:dyDescent="0.2">
      <c r="A54" s="589">
        <v>9</v>
      </c>
      <c r="B54" s="725" t="s">
        <v>785</v>
      </c>
      <c r="C54" s="733" t="s">
        <v>786</v>
      </c>
      <c r="D54" s="704"/>
    </row>
    <row r="55" spans="1:4" ht="18" customHeight="1" x14ac:dyDescent="0.2">
      <c r="A55" s="592"/>
      <c r="B55" s="734"/>
      <c r="C55" s="514" t="s">
        <v>787</v>
      </c>
      <c r="D55" s="704"/>
    </row>
    <row r="56" spans="1:4" ht="53.25" customHeight="1" x14ac:dyDescent="0.2">
      <c r="A56" s="592"/>
      <c r="B56" s="734"/>
      <c r="C56" s="733" t="s">
        <v>788</v>
      </c>
      <c r="D56" s="704"/>
    </row>
    <row r="57" spans="1:4" ht="21.75" customHeight="1" x14ac:dyDescent="0.2">
      <c r="A57" s="592"/>
      <c r="B57" s="734"/>
      <c r="C57" s="514" t="s">
        <v>789</v>
      </c>
      <c r="D57" s="704"/>
    </row>
    <row r="58" spans="1:4" ht="52.5" customHeight="1" x14ac:dyDescent="0.2">
      <c r="A58" s="592"/>
      <c r="B58" s="734"/>
      <c r="C58" s="733" t="s">
        <v>790</v>
      </c>
      <c r="D58" s="704"/>
    </row>
    <row r="59" spans="1:4" ht="19.5" customHeight="1" x14ac:dyDescent="0.2">
      <c r="A59" s="593"/>
      <c r="B59" s="734"/>
      <c r="C59" s="514" t="s">
        <v>791</v>
      </c>
      <c r="D59" s="704"/>
    </row>
    <row r="60" spans="1:4" ht="51" customHeight="1" x14ac:dyDescent="0.2">
      <c r="A60" s="593"/>
      <c r="B60" s="734"/>
      <c r="C60" s="733" t="s">
        <v>792</v>
      </c>
      <c r="D60" s="704"/>
    </row>
    <row r="61" spans="1:4" ht="19.5" customHeight="1" x14ac:dyDescent="0.2">
      <c r="A61" s="593"/>
      <c r="B61" s="734"/>
      <c r="C61" s="514" t="s">
        <v>793</v>
      </c>
      <c r="D61" s="704"/>
    </row>
    <row r="62" spans="1:4" ht="29.25" customHeight="1" x14ac:dyDescent="0.2">
      <c r="A62" s="593"/>
      <c r="B62" s="734"/>
      <c r="C62" s="733" t="s">
        <v>794</v>
      </c>
      <c r="D62" s="704"/>
    </row>
    <row r="63" spans="1:4" ht="19.5" customHeight="1" x14ac:dyDescent="0.2">
      <c r="A63" s="594"/>
      <c r="B63" s="734"/>
      <c r="C63" s="514" t="s">
        <v>795</v>
      </c>
      <c r="D63" s="704"/>
    </row>
    <row r="64" spans="1:4" ht="138.75" customHeight="1" x14ac:dyDescent="0.2">
      <c r="A64" s="590">
        <v>9</v>
      </c>
      <c r="B64" s="717" t="s">
        <v>796</v>
      </c>
      <c r="C64" s="703" t="s">
        <v>797</v>
      </c>
      <c r="D64" s="704"/>
    </row>
    <row r="65" spans="1:4" ht="171" customHeight="1" x14ac:dyDescent="0.2">
      <c r="A65" s="590">
        <v>9</v>
      </c>
      <c r="B65" s="708" t="s">
        <v>387</v>
      </c>
      <c r="C65" s="703" t="s">
        <v>798</v>
      </c>
      <c r="D65" s="704"/>
    </row>
    <row r="66" spans="1:4" ht="57" customHeight="1" x14ac:dyDescent="0.2">
      <c r="A66" s="590">
        <v>9</v>
      </c>
      <c r="B66" s="708" t="s">
        <v>799</v>
      </c>
      <c r="C66" s="703" t="s">
        <v>800</v>
      </c>
      <c r="D66" s="704"/>
    </row>
    <row r="67" spans="1:4" ht="213" customHeight="1" x14ac:dyDescent="0.2">
      <c r="A67" s="590">
        <v>9</v>
      </c>
      <c r="B67" s="717" t="s">
        <v>801</v>
      </c>
      <c r="C67" s="715" t="s">
        <v>802</v>
      </c>
      <c r="D67" s="735"/>
    </row>
    <row r="68" spans="1:4" ht="60" customHeight="1" x14ac:dyDescent="0.2">
      <c r="A68" s="590">
        <v>9</v>
      </c>
      <c r="B68" s="717" t="s">
        <v>415</v>
      </c>
      <c r="C68" s="736" t="s">
        <v>803</v>
      </c>
      <c r="D68" s="737"/>
    </row>
    <row r="69" spans="1:4" ht="57.75" customHeight="1" x14ac:dyDescent="0.2">
      <c r="A69" s="589">
        <v>10</v>
      </c>
      <c r="B69" s="717" t="s">
        <v>726</v>
      </c>
      <c r="C69" s="738" t="s">
        <v>804</v>
      </c>
      <c r="D69" s="730"/>
    </row>
    <row r="70" spans="1:4" ht="60" customHeight="1" x14ac:dyDescent="0.2">
      <c r="A70" s="589">
        <v>10</v>
      </c>
      <c r="B70" s="717" t="s">
        <v>420</v>
      </c>
      <c r="C70" s="736" t="s">
        <v>805</v>
      </c>
      <c r="D70" s="730"/>
    </row>
    <row r="71" spans="1:4" ht="60" customHeight="1" x14ac:dyDescent="0.2">
      <c r="A71" s="589">
        <v>10</v>
      </c>
      <c r="B71" s="717" t="s">
        <v>806</v>
      </c>
      <c r="C71" s="719" t="s">
        <v>807</v>
      </c>
      <c r="D71" s="737"/>
    </row>
    <row r="72" spans="1:4" ht="60" customHeight="1" x14ac:dyDescent="0.2">
      <c r="A72" s="589">
        <v>10</v>
      </c>
      <c r="B72" s="717" t="s">
        <v>808</v>
      </c>
      <c r="C72" s="719" t="s">
        <v>809</v>
      </c>
      <c r="D72" s="737"/>
    </row>
    <row r="73" spans="1:4" ht="67.5" customHeight="1" x14ac:dyDescent="0.2">
      <c r="A73" s="589">
        <v>10</v>
      </c>
      <c r="B73" s="717" t="s">
        <v>159</v>
      </c>
      <c r="C73" s="719" t="s">
        <v>810</v>
      </c>
      <c r="D73" s="737"/>
    </row>
    <row r="74" spans="1:4" ht="81.75" customHeight="1" x14ac:dyDescent="0.2">
      <c r="A74" s="589">
        <v>10</v>
      </c>
      <c r="B74" s="717" t="s">
        <v>811</v>
      </c>
      <c r="C74" s="719" t="s">
        <v>812</v>
      </c>
      <c r="D74" s="737"/>
    </row>
    <row r="75" spans="1:4" ht="60" customHeight="1" x14ac:dyDescent="0.2">
      <c r="A75" s="589">
        <v>10</v>
      </c>
      <c r="B75" s="717" t="s">
        <v>813</v>
      </c>
      <c r="C75" s="719" t="s">
        <v>814</v>
      </c>
      <c r="D75" s="737"/>
    </row>
    <row r="76" spans="1:4" ht="60" customHeight="1" x14ac:dyDescent="0.2">
      <c r="A76" s="1001">
        <v>10</v>
      </c>
      <c r="B76" s="1003" t="s">
        <v>458</v>
      </c>
      <c r="C76" s="739" t="s">
        <v>1151</v>
      </c>
      <c r="D76" s="740"/>
    </row>
    <row r="77" spans="1:4" ht="19.5" customHeight="1" x14ac:dyDescent="0.2">
      <c r="A77" s="1002"/>
      <c r="B77" s="1004"/>
      <c r="C77" s="612" t="s">
        <v>815</v>
      </c>
      <c r="D77" s="721"/>
    </row>
    <row r="78" spans="1:4" ht="44.25" customHeight="1" x14ac:dyDescent="0.2">
      <c r="A78" s="589">
        <v>10</v>
      </c>
      <c r="B78" s="717" t="s">
        <v>816</v>
      </c>
      <c r="C78" s="741" t="s">
        <v>817</v>
      </c>
      <c r="D78" s="742"/>
    </row>
    <row r="79" spans="1:4" ht="45.75" customHeight="1" x14ac:dyDescent="0.2">
      <c r="A79" s="589">
        <v>10</v>
      </c>
      <c r="B79" s="717" t="s">
        <v>818</v>
      </c>
      <c r="C79" s="719" t="s">
        <v>819</v>
      </c>
      <c r="D79" s="737"/>
    </row>
    <row r="80" spans="1:4" ht="46.5" customHeight="1" x14ac:dyDescent="0.2">
      <c r="A80" s="589">
        <v>10</v>
      </c>
      <c r="B80" s="717" t="s">
        <v>820</v>
      </c>
      <c r="C80" s="719" t="s">
        <v>821</v>
      </c>
      <c r="D80" s="737"/>
    </row>
    <row r="81" spans="1:4" ht="86.25" customHeight="1" x14ac:dyDescent="0.2">
      <c r="A81" s="589">
        <v>10</v>
      </c>
      <c r="B81" s="717" t="s">
        <v>822</v>
      </c>
      <c r="C81" s="719" t="s">
        <v>823</v>
      </c>
      <c r="D81" s="737"/>
    </row>
    <row r="82" spans="1:4" ht="25.5" x14ac:dyDescent="0.2">
      <c r="A82" s="589">
        <v>10</v>
      </c>
      <c r="B82" s="717" t="s">
        <v>824</v>
      </c>
      <c r="C82" s="719" t="s">
        <v>825</v>
      </c>
      <c r="D82" s="737"/>
    </row>
    <row r="83" spans="1:4" ht="328.5" customHeight="1" x14ac:dyDescent="0.2">
      <c r="A83" s="589">
        <v>10</v>
      </c>
      <c r="B83" s="717" t="s">
        <v>826</v>
      </c>
      <c r="C83" s="715" t="s">
        <v>827</v>
      </c>
      <c r="D83" s="737"/>
    </row>
    <row r="84" spans="1:4" ht="125.25" customHeight="1" x14ac:dyDescent="0.2">
      <c r="A84" s="589">
        <v>10</v>
      </c>
      <c r="B84" s="717" t="s">
        <v>828</v>
      </c>
      <c r="C84" s="716" t="s">
        <v>1359</v>
      </c>
      <c r="D84" s="737"/>
    </row>
    <row r="85" spans="1:4" ht="72" customHeight="1" x14ac:dyDescent="0.2">
      <c r="A85" s="589">
        <v>10</v>
      </c>
      <c r="B85" s="714" t="s">
        <v>1360</v>
      </c>
      <c r="C85" s="713" t="s">
        <v>1361</v>
      </c>
      <c r="D85" s="737"/>
    </row>
    <row r="86" spans="1:4" ht="69" customHeight="1" x14ac:dyDescent="0.2">
      <c r="A86" s="589">
        <v>10</v>
      </c>
      <c r="B86" s="714" t="s">
        <v>1362</v>
      </c>
      <c r="C86" s="715" t="s">
        <v>1363</v>
      </c>
      <c r="D86" s="737"/>
    </row>
    <row r="87" spans="1:4" ht="108.75" customHeight="1" x14ac:dyDescent="0.2">
      <c r="A87" s="589">
        <v>10</v>
      </c>
      <c r="B87" s="717" t="s">
        <v>829</v>
      </c>
      <c r="C87" s="715" t="s">
        <v>1150</v>
      </c>
      <c r="D87" s="737"/>
    </row>
    <row r="88" spans="1:4" ht="130.5" customHeight="1" x14ac:dyDescent="0.2">
      <c r="A88" s="639">
        <v>10</v>
      </c>
      <c r="B88" s="717" t="s">
        <v>830</v>
      </c>
      <c r="C88" s="715" t="s">
        <v>831</v>
      </c>
      <c r="D88" s="740"/>
    </row>
    <row r="89" spans="1:4" customFormat="1" ht="81" customHeight="1" x14ac:dyDescent="0.2">
      <c r="A89" s="743" t="s">
        <v>1212</v>
      </c>
      <c r="B89" s="744" t="s">
        <v>726</v>
      </c>
      <c r="C89" s="745" t="s">
        <v>1288</v>
      </c>
      <c r="D89" s="746" t="s">
        <v>1377</v>
      </c>
    </row>
    <row r="90" spans="1:4" customFormat="1" ht="36" customHeight="1" x14ac:dyDescent="0.2">
      <c r="A90" s="743" t="s">
        <v>1212</v>
      </c>
      <c r="B90" s="744" t="s">
        <v>1253</v>
      </c>
      <c r="C90" s="747" t="s">
        <v>1252</v>
      </c>
      <c r="D90" s="748" t="s">
        <v>1377</v>
      </c>
    </row>
    <row r="91" spans="1:4" customFormat="1" ht="57" customHeight="1" x14ac:dyDescent="0.2">
      <c r="A91" s="743" t="s">
        <v>1212</v>
      </c>
      <c r="B91" s="744" t="s">
        <v>1251</v>
      </c>
      <c r="C91" s="747" t="s">
        <v>1257</v>
      </c>
      <c r="D91" s="748" t="s">
        <v>1377</v>
      </c>
    </row>
    <row r="92" spans="1:4" customFormat="1" ht="37.9" customHeight="1" x14ac:dyDescent="0.2">
      <c r="A92" s="743" t="s">
        <v>1212</v>
      </c>
      <c r="B92" s="744" t="s">
        <v>1250</v>
      </c>
      <c r="C92" s="747" t="s">
        <v>1249</v>
      </c>
      <c r="D92" s="748" t="s">
        <v>1377</v>
      </c>
    </row>
    <row r="93" spans="1:4" customFormat="1" ht="87" customHeight="1" x14ac:dyDescent="0.2">
      <c r="A93" s="743" t="s">
        <v>1212</v>
      </c>
      <c r="B93" s="744" t="s">
        <v>1248</v>
      </c>
      <c r="C93" s="749" t="s">
        <v>1378</v>
      </c>
      <c r="D93" s="748" t="s">
        <v>1377</v>
      </c>
    </row>
    <row r="94" spans="1:4" customFormat="1" ht="46.5" customHeight="1" x14ac:dyDescent="0.2">
      <c r="A94" s="743" t="s">
        <v>1212</v>
      </c>
      <c r="B94" s="744" t="s">
        <v>1247</v>
      </c>
      <c r="C94" s="747" t="s">
        <v>1258</v>
      </c>
      <c r="D94" s="748" t="s">
        <v>1377</v>
      </c>
    </row>
    <row r="95" spans="1:4" customFormat="1" ht="36" customHeight="1" x14ac:dyDescent="0.2">
      <c r="A95" s="743" t="s">
        <v>1212</v>
      </c>
      <c r="B95" s="744" t="s">
        <v>1246</v>
      </c>
      <c r="C95" s="750" t="s">
        <v>1259</v>
      </c>
      <c r="D95" s="748" t="s">
        <v>1377</v>
      </c>
    </row>
    <row r="96" spans="1:4" customFormat="1" ht="33.4" customHeight="1" x14ac:dyDescent="0.2">
      <c r="A96" s="743" t="s">
        <v>1212</v>
      </c>
      <c r="B96" s="744" t="s">
        <v>1245</v>
      </c>
      <c r="C96" s="747" t="s">
        <v>1244</v>
      </c>
      <c r="D96" s="748" t="s">
        <v>1377</v>
      </c>
    </row>
    <row r="97" spans="1:4" customFormat="1" ht="35.25" customHeight="1" x14ac:dyDescent="0.2">
      <c r="A97" s="743" t="s">
        <v>1212</v>
      </c>
      <c r="B97" s="744" t="s">
        <v>1243</v>
      </c>
      <c r="C97" s="747" t="s">
        <v>1242</v>
      </c>
      <c r="D97" s="748" t="s">
        <v>1377</v>
      </c>
    </row>
    <row r="98" spans="1:4" customFormat="1" ht="53.25" customHeight="1" x14ac:dyDescent="0.2">
      <c r="A98" s="743" t="s">
        <v>1212</v>
      </c>
      <c r="B98" s="744" t="s">
        <v>1241</v>
      </c>
      <c r="C98" s="747" t="s">
        <v>1260</v>
      </c>
      <c r="D98" s="748" t="s">
        <v>1377</v>
      </c>
    </row>
    <row r="99" spans="1:4" customFormat="1" ht="35.25" customHeight="1" x14ac:dyDescent="0.2">
      <c r="A99" s="743" t="s">
        <v>1212</v>
      </c>
      <c r="B99" s="744" t="s">
        <v>1240</v>
      </c>
      <c r="C99" s="747" t="s">
        <v>1261</v>
      </c>
      <c r="D99" s="748" t="s">
        <v>1377</v>
      </c>
    </row>
    <row r="100" spans="1:4" customFormat="1" ht="42.4" customHeight="1" x14ac:dyDescent="0.2">
      <c r="A100" s="743" t="s">
        <v>1212</v>
      </c>
      <c r="B100" s="744" t="s">
        <v>1239</v>
      </c>
      <c r="C100" s="751" t="s">
        <v>1238</v>
      </c>
      <c r="D100" s="748" t="s">
        <v>1377</v>
      </c>
    </row>
    <row r="101" spans="1:4" customFormat="1" ht="33.4" customHeight="1" x14ac:dyDescent="0.2">
      <c r="A101" s="743" t="s">
        <v>1212</v>
      </c>
      <c r="B101" s="744" t="s">
        <v>1237</v>
      </c>
      <c r="C101" s="747" t="s">
        <v>1262</v>
      </c>
      <c r="D101" s="748" t="s">
        <v>1377</v>
      </c>
    </row>
    <row r="102" spans="1:4" customFormat="1" ht="40.9" customHeight="1" x14ac:dyDescent="0.2">
      <c r="A102" s="743" t="s">
        <v>1212</v>
      </c>
      <c r="B102" s="744" t="s">
        <v>1236</v>
      </c>
      <c r="C102" s="747" t="s">
        <v>1263</v>
      </c>
      <c r="D102" s="748" t="s">
        <v>1377</v>
      </c>
    </row>
    <row r="103" spans="1:4" customFormat="1" ht="75.400000000000006" customHeight="1" x14ac:dyDescent="0.2">
      <c r="A103" s="987" t="s">
        <v>1212</v>
      </c>
      <c r="B103" s="989" t="s">
        <v>1235</v>
      </c>
      <c r="C103" s="752" t="s">
        <v>1264</v>
      </c>
      <c r="D103" s="753" t="s">
        <v>1377</v>
      </c>
    </row>
    <row r="104" spans="1:4" customFormat="1" ht="15.4" customHeight="1" x14ac:dyDescent="0.2">
      <c r="A104" s="988"/>
      <c r="B104" s="990"/>
      <c r="C104" s="754" t="s">
        <v>1234</v>
      </c>
      <c r="D104" s="755"/>
    </row>
    <row r="105" spans="1:4" customFormat="1" ht="31.9" customHeight="1" x14ac:dyDescent="0.2">
      <c r="A105" s="743" t="s">
        <v>1212</v>
      </c>
      <c r="B105" s="744" t="s">
        <v>1233</v>
      </c>
      <c r="C105" s="751" t="s">
        <v>1265</v>
      </c>
      <c r="D105" s="748" t="s">
        <v>1377</v>
      </c>
    </row>
    <row r="106" spans="1:4" customFormat="1" ht="39" customHeight="1" x14ac:dyDescent="0.2">
      <c r="A106" s="743" t="s">
        <v>1212</v>
      </c>
      <c r="B106" s="744" t="s">
        <v>1232</v>
      </c>
      <c r="C106" s="747" t="s">
        <v>1266</v>
      </c>
      <c r="D106" s="748" t="s">
        <v>1377</v>
      </c>
    </row>
    <row r="107" spans="1:4" customFormat="1" ht="45.4" customHeight="1" x14ac:dyDescent="0.2">
      <c r="A107" s="743" t="s">
        <v>1212</v>
      </c>
      <c r="B107" s="744" t="s">
        <v>1231</v>
      </c>
      <c r="C107" s="747" t="s">
        <v>1267</v>
      </c>
      <c r="D107" s="748" t="s">
        <v>1377</v>
      </c>
    </row>
    <row r="108" spans="1:4" customFormat="1" ht="57.4" customHeight="1" x14ac:dyDescent="0.2">
      <c r="A108" s="743" t="s">
        <v>1212</v>
      </c>
      <c r="B108" s="744" t="s">
        <v>1230</v>
      </c>
      <c r="C108" s="747" t="s">
        <v>1268</v>
      </c>
      <c r="D108" s="748" t="s">
        <v>1377</v>
      </c>
    </row>
    <row r="109" spans="1:4" customFormat="1" ht="43.9" customHeight="1" x14ac:dyDescent="0.2">
      <c r="A109" s="743" t="s">
        <v>1212</v>
      </c>
      <c r="B109" s="744" t="s">
        <v>1229</v>
      </c>
      <c r="C109" s="747" t="s">
        <v>1228</v>
      </c>
      <c r="D109" s="748" t="s">
        <v>1377</v>
      </c>
    </row>
    <row r="110" spans="1:4" customFormat="1" ht="30" customHeight="1" x14ac:dyDescent="0.2">
      <c r="A110" s="743" t="s">
        <v>1212</v>
      </c>
      <c r="B110" s="744" t="s">
        <v>1275</v>
      </c>
      <c r="C110" s="747" t="s">
        <v>1227</v>
      </c>
      <c r="D110" s="748" t="s">
        <v>1377</v>
      </c>
    </row>
    <row r="111" spans="1:4" customFormat="1" ht="39" customHeight="1" x14ac:dyDescent="0.2">
      <c r="A111" s="743" t="s">
        <v>1212</v>
      </c>
      <c r="B111" s="744" t="s">
        <v>1276</v>
      </c>
      <c r="C111" s="747" t="s">
        <v>1226</v>
      </c>
      <c r="D111" s="748" t="s">
        <v>1377</v>
      </c>
    </row>
    <row r="112" spans="1:4" customFormat="1" ht="35.25" customHeight="1" x14ac:dyDescent="0.2">
      <c r="A112" s="743" t="s">
        <v>1212</v>
      </c>
      <c r="B112" s="744" t="s">
        <v>1225</v>
      </c>
      <c r="C112" s="747" t="s">
        <v>1224</v>
      </c>
      <c r="D112" s="748" t="s">
        <v>1377</v>
      </c>
    </row>
    <row r="113" spans="1:4" customFormat="1" ht="39" customHeight="1" x14ac:dyDescent="0.2">
      <c r="A113" s="743" t="s">
        <v>1212</v>
      </c>
      <c r="B113" s="744" t="s">
        <v>1223</v>
      </c>
      <c r="C113" s="747" t="s">
        <v>1222</v>
      </c>
      <c r="D113" s="748" t="s">
        <v>1377</v>
      </c>
    </row>
    <row r="114" spans="1:4" customFormat="1" ht="33.75" customHeight="1" x14ac:dyDescent="0.2">
      <c r="A114" s="743" t="s">
        <v>1212</v>
      </c>
      <c r="B114" s="744" t="s">
        <v>94</v>
      </c>
      <c r="C114" s="747" t="s">
        <v>1221</v>
      </c>
      <c r="D114" s="748" t="s">
        <v>1377</v>
      </c>
    </row>
    <row r="115" spans="1:4" customFormat="1" ht="33.75" customHeight="1" x14ac:dyDescent="0.2">
      <c r="A115" s="743" t="s">
        <v>1212</v>
      </c>
      <c r="B115" s="744" t="s">
        <v>1194</v>
      </c>
      <c r="C115" s="747" t="s">
        <v>1220</v>
      </c>
      <c r="D115" s="748" t="s">
        <v>1377</v>
      </c>
    </row>
    <row r="116" spans="1:4" customFormat="1" ht="51" customHeight="1" x14ac:dyDescent="0.2">
      <c r="A116" s="743" t="s">
        <v>1212</v>
      </c>
      <c r="B116" s="744" t="s">
        <v>1193</v>
      </c>
      <c r="C116" s="747" t="s">
        <v>1219</v>
      </c>
      <c r="D116" s="748" t="s">
        <v>1377</v>
      </c>
    </row>
    <row r="117" spans="1:4" customFormat="1" ht="33" customHeight="1" x14ac:dyDescent="0.2">
      <c r="A117" s="743" t="s">
        <v>1212</v>
      </c>
      <c r="B117" s="744" t="s">
        <v>1218</v>
      </c>
      <c r="C117" s="747" t="s">
        <v>1217</v>
      </c>
      <c r="D117" s="748" t="s">
        <v>1377</v>
      </c>
    </row>
    <row r="118" spans="1:4" customFormat="1" ht="36.75" customHeight="1" x14ac:dyDescent="0.2">
      <c r="A118" s="743" t="s">
        <v>1212</v>
      </c>
      <c r="B118" s="744" t="s">
        <v>1191</v>
      </c>
      <c r="C118" s="747" t="s">
        <v>1216</v>
      </c>
      <c r="D118" s="748" t="s">
        <v>1377</v>
      </c>
    </row>
    <row r="119" spans="1:4" customFormat="1" ht="34.9" customHeight="1" x14ac:dyDescent="0.2">
      <c r="A119" s="743" t="s">
        <v>1212</v>
      </c>
      <c r="B119" s="744" t="s">
        <v>1274</v>
      </c>
      <c r="C119" s="747" t="s">
        <v>1215</v>
      </c>
      <c r="D119" s="748" t="s">
        <v>1377</v>
      </c>
    </row>
    <row r="120" spans="1:4" customFormat="1" ht="31.5" customHeight="1" x14ac:dyDescent="0.2">
      <c r="A120" s="743" t="s">
        <v>1212</v>
      </c>
      <c r="B120" s="744" t="s">
        <v>1273</v>
      </c>
      <c r="C120" s="747" t="s">
        <v>1214</v>
      </c>
      <c r="D120" s="748" t="s">
        <v>1377</v>
      </c>
    </row>
    <row r="121" spans="1:4" customFormat="1" ht="43.5" customHeight="1" x14ac:dyDescent="0.2">
      <c r="A121" s="743" t="s">
        <v>1212</v>
      </c>
      <c r="B121" s="744" t="s">
        <v>1272</v>
      </c>
      <c r="C121" s="747" t="s">
        <v>1269</v>
      </c>
      <c r="D121" s="748" t="s">
        <v>1377</v>
      </c>
    </row>
    <row r="122" spans="1:4" customFormat="1" ht="32.65" customHeight="1" x14ac:dyDescent="0.2">
      <c r="A122" s="743" t="s">
        <v>1212</v>
      </c>
      <c r="B122" s="744" t="s">
        <v>1271</v>
      </c>
      <c r="C122" s="747" t="s">
        <v>1368</v>
      </c>
      <c r="D122" s="748" t="s">
        <v>1377</v>
      </c>
    </row>
    <row r="123" spans="1:4" customFormat="1" ht="38.25" x14ac:dyDescent="0.2">
      <c r="A123" s="743" t="s">
        <v>1212</v>
      </c>
      <c r="B123" s="744" t="s">
        <v>1270</v>
      </c>
      <c r="C123" s="747" t="s">
        <v>1213</v>
      </c>
      <c r="D123" s="748" t="s">
        <v>1377</v>
      </c>
    </row>
    <row r="124" spans="1:4" ht="81.75" customHeight="1" x14ac:dyDescent="0.2">
      <c r="A124" s="589" t="s">
        <v>832</v>
      </c>
      <c r="B124" s="756" t="s">
        <v>726</v>
      </c>
      <c r="C124" s="757" t="s">
        <v>833</v>
      </c>
      <c r="D124" s="730"/>
    </row>
    <row r="125" spans="1:4" s="8" customFormat="1" ht="29.25" customHeight="1" x14ac:dyDescent="0.2">
      <c r="A125" s="589" t="s">
        <v>832</v>
      </c>
      <c r="B125" s="756" t="s">
        <v>834</v>
      </c>
      <c r="C125" s="758" t="s">
        <v>1365</v>
      </c>
      <c r="D125" s="721"/>
    </row>
    <row r="126" spans="1:4" ht="81" customHeight="1" x14ac:dyDescent="0.2">
      <c r="A126" s="589" t="s">
        <v>832</v>
      </c>
      <c r="B126" s="717" t="s">
        <v>835</v>
      </c>
      <c r="C126" s="759" t="s">
        <v>1366</v>
      </c>
      <c r="D126" s="730"/>
    </row>
    <row r="127" spans="1:4" ht="49.5" customHeight="1" x14ac:dyDescent="0.2">
      <c r="A127" s="589" t="s">
        <v>832</v>
      </c>
      <c r="B127" s="717" t="s">
        <v>836</v>
      </c>
      <c r="C127" s="713" t="s">
        <v>1367</v>
      </c>
      <c r="D127" s="737"/>
    </row>
    <row r="128" spans="1:4" ht="79.5" customHeight="1" x14ac:dyDescent="0.2">
      <c r="A128" s="760" t="s">
        <v>837</v>
      </c>
      <c r="B128" s="756" t="s">
        <v>838</v>
      </c>
      <c r="C128" s="738" t="s">
        <v>1379</v>
      </c>
      <c r="D128" s="761"/>
    </row>
    <row r="129" spans="1:4" ht="51" x14ac:dyDescent="0.2">
      <c r="A129" s="760" t="s">
        <v>837</v>
      </c>
      <c r="B129" s="756" t="s">
        <v>839</v>
      </c>
      <c r="C129" s="759" t="s">
        <v>1369</v>
      </c>
      <c r="D129" s="761"/>
    </row>
    <row r="130" spans="1:4" ht="33.75" customHeight="1" x14ac:dyDescent="0.2">
      <c r="A130" s="760" t="s">
        <v>837</v>
      </c>
      <c r="B130" s="756" t="s">
        <v>840</v>
      </c>
      <c r="C130" s="736" t="s">
        <v>1137</v>
      </c>
      <c r="D130" s="761"/>
    </row>
    <row r="131" spans="1:4" ht="55.5" customHeight="1" x14ac:dyDescent="0.2">
      <c r="A131" s="760" t="s">
        <v>837</v>
      </c>
      <c r="B131" s="756" t="s">
        <v>841</v>
      </c>
      <c r="C131" s="736" t="s">
        <v>842</v>
      </c>
      <c r="D131" s="761"/>
    </row>
    <row r="132" spans="1:4" ht="38.25" x14ac:dyDescent="0.2">
      <c r="A132" s="760" t="s">
        <v>837</v>
      </c>
      <c r="B132" s="756" t="s">
        <v>843</v>
      </c>
      <c r="C132" s="736" t="s">
        <v>844</v>
      </c>
      <c r="D132" s="761"/>
    </row>
    <row r="133" spans="1:4" ht="51" x14ac:dyDescent="0.2">
      <c r="A133" s="760" t="s">
        <v>837</v>
      </c>
      <c r="B133" s="756" t="s">
        <v>845</v>
      </c>
      <c r="C133" s="759" t="s">
        <v>1370</v>
      </c>
      <c r="D133" s="761"/>
    </row>
    <row r="134" spans="1:4" ht="54" customHeight="1" x14ac:dyDescent="0.2">
      <c r="A134" s="760" t="s">
        <v>837</v>
      </c>
      <c r="B134" s="717" t="s">
        <v>1138</v>
      </c>
      <c r="C134" s="759" t="s">
        <v>1371</v>
      </c>
      <c r="D134" s="761"/>
    </row>
    <row r="135" spans="1:4" ht="25.5" x14ac:dyDescent="0.3">
      <c r="A135" s="760" t="s">
        <v>837</v>
      </c>
      <c r="B135" s="756" t="s">
        <v>846</v>
      </c>
      <c r="C135" s="762" t="s">
        <v>847</v>
      </c>
      <c r="D135" s="763"/>
    </row>
    <row r="136" spans="1:4" ht="38.25" x14ac:dyDescent="0.3">
      <c r="A136" s="760" t="s">
        <v>837</v>
      </c>
      <c r="B136" s="756" t="s">
        <v>848</v>
      </c>
      <c r="C136" s="762" t="s">
        <v>849</v>
      </c>
      <c r="D136" s="763"/>
    </row>
    <row r="137" spans="1:4" ht="51" x14ac:dyDescent="0.3">
      <c r="A137" s="760" t="s">
        <v>837</v>
      </c>
      <c r="B137" s="756" t="s">
        <v>850</v>
      </c>
      <c r="C137" s="762" t="s">
        <v>851</v>
      </c>
      <c r="D137" s="763"/>
    </row>
    <row r="138" spans="1:4" ht="56.25" customHeight="1" x14ac:dyDescent="0.3">
      <c r="A138" s="760" t="s">
        <v>837</v>
      </c>
      <c r="B138" s="764" t="s">
        <v>852</v>
      </c>
      <c r="C138" s="762" t="s">
        <v>853</v>
      </c>
      <c r="D138" s="765"/>
    </row>
    <row r="139" spans="1:4" ht="25.5" x14ac:dyDescent="0.2">
      <c r="A139" s="760" t="s">
        <v>837</v>
      </c>
      <c r="B139" s="717" t="s">
        <v>854</v>
      </c>
      <c r="C139" s="736" t="s">
        <v>1139</v>
      </c>
      <c r="D139" s="766"/>
    </row>
    <row r="140" spans="1:4" ht="108" customHeight="1" x14ac:dyDescent="0.2">
      <c r="A140" s="760" t="s">
        <v>837</v>
      </c>
      <c r="B140" s="717" t="s">
        <v>855</v>
      </c>
      <c r="C140" s="767" t="s">
        <v>1372</v>
      </c>
      <c r="D140" s="768"/>
    </row>
    <row r="141" spans="1:4" ht="89.25" x14ac:dyDescent="0.2">
      <c r="A141" s="760" t="s">
        <v>837</v>
      </c>
      <c r="B141" s="717" t="s">
        <v>856</v>
      </c>
      <c r="C141" s="730" t="s">
        <v>1140</v>
      </c>
      <c r="D141" s="768"/>
    </row>
  </sheetData>
  <sheetProtection sheet="1" formatCells="0" formatColumns="0" formatRows="0" sort="0" autoFilter="0"/>
  <autoFilter ref="A1:D141"/>
  <mergeCells count="7">
    <mergeCell ref="A103:A104"/>
    <mergeCell ref="B103:B104"/>
    <mergeCell ref="A2:B6"/>
    <mergeCell ref="A10:A11"/>
    <mergeCell ref="B10:B11"/>
    <mergeCell ref="A76:A77"/>
    <mergeCell ref="B76:B77"/>
  </mergeCells>
  <hyperlinks>
    <hyperlink ref="A12" location="'Page 1'!A1" display="'Page 1'!A1"/>
    <hyperlink ref="A17" location="'Page 2'!A1" display="'Page 2'!A1"/>
    <hyperlink ref="A18" location="'Page 2'!A1" display="'Page 2'!A1"/>
    <hyperlink ref="A2:B2" location="'Cover Page'!A1" display="General"/>
    <hyperlink ref="A7" location="'Cover Page'!A1" display="Cover"/>
    <hyperlink ref="A14" location="'Page 1'!A1" display="'Page 1'!A1"/>
    <hyperlink ref="A15" location="'Page 1'!A1" display="'Page 1'!A1"/>
    <hyperlink ref="A13" location="'Page 1'!A1" display="'Page 1'!A1"/>
    <hyperlink ref="A16" location="'Page 1'!A1" display="'Page 1'!A1"/>
    <hyperlink ref="A10" location="'Accounting Data'!A1" display="Accounting data tab"/>
    <hyperlink ref="A9" location="'School listing'!A1" display="School listing tab"/>
    <hyperlink ref="C55" r:id="rId1"/>
    <hyperlink ref="C57" r:id="rId2"/>
    <hyperlink ref="C59" r:id="rId3" display="https://www.azed.gov/titlei/sample-page/rural-low-income-schools-rlis/"/>
    <hyperlink ref="C61" r:id="rId4"/>
    <hyperlink ref="C63" r:id="rId5"/>
    <hyperlink ref="A19" location="'Page 3'!A1" display="'Page 3'!A1"/>
    <hyperlink ref="A21" location="'Page 3'!A1" display="'Page 3'!A1"/>
    <hyperlink ref="A20" location="'Page 3'!A1" display="'Page 3'!A1"/>
    <hyperlink ref="A24" location="'Page 4'!A1" display="'Page 4'!A1"/>
    <hyperlink ref="A27" location="'Page 6'!A1" display="'Page 6'!A1"/>
    <hyperlink ref="A28" location="'Page 6'!A1" display="'Page 6'!A1"/>
    <hyperlink ref="A29" location="'Page 6'!A1" display="'Page 6'!A1"/>
    <hyperlink ref="A30" location="'Page 6'!A1" display="'Page 6'!A1"/>
    <hyperlink ref="A31" location="'Page 6'!A1" display="'Page 6'!A1"/>
    <hyperlink ref="A32" location="'Page 6'!A1" display="'Page 6'!A1"/>
    <hyperlink ref="A33" location="'Page 6'!A1" display="'Page 6'!A1"/>
    <hyperlink ref="A35" location="'Page 6'!A1" display="'Page 6'!A1"/>
    <hyperlink ref="A36" location="'Page 6'!A1" display="'Page 6'!A1"/>
    <hyperlink ref="A37" location="'Page 6'!A1" display="'Page 6'!A1"/>
    <hyperlink ref="A38" location="'Page 6'!A1" display="'Page 6'!A1"/>
    <hyperlink ref="A39" location="'Page 6'!A1" display="'Page 6'!A1"/>
    <hyperlink ref="A40" location="'Page 6'!A1" display="'Page 6'!A1"/>
    <hyperlink ref="A41" location="'Page 6'!A1" display="'Page 6'!A1"/>
    <hyperlink ref="A42" location="'Page 7'!A1" display="'Page 7'!A1"/>
    <hyperlink ref="A43" location="'Page 7'!A1" display="'Page 7'!A1"/>
    <hyperlink ref="A44" location="'Page 7'!A1" display="'Page 7'!A1"/>
    <hyperlink ref="A45" location="'Page 7'!A1" display="'Page 7'!A1"/>
    <hyperlink ref="A47" location="'Page 8'!A1" display="'Page 8'!A1"/>
    <hyperlink ref="A48" location="'Page 8'!A1" display="'Page 8'!A1"/>
    <hyperlink ref="A49" location="'Page 8'!A1" display="'Page 8'!A1"/>
    <hyperlink ref="A50" location="'Page 9'!A1" display="'Page 9'!A1"/>
    <hyperlink ref="A51" location="'Page 9'!A1" display="'Page 9'!A1"/>
    <hyperlink ref="A52" location="'Page 9'!A1" display="'Page 9'!A1"/>
    <hyperlink ref="A53" location="'Page 9'!A1" display="'Page 9'!A1"/>
    <hyperlink ref="A54" location="'Page 9'!A1" display="'Page 9'!A1"/>
    <hyperlink ref="A64" location="'Page 9'!A1" display="'Page 9'!A1"/>
    <hyperlink ref="A65" location="'Page 9'!A1" display="'Page 9'!A1"/>
    <hyperlink ref="A66" location="'Page 9'!A1" display="'Page 9'!A1"/>
    <hyperlink ref="A67" location="'Page 9'!A1" display="'Page 9'!A1"/>
    <hyperlink ref="A68" location="'Page 9'!A1" display="'Page 9'!A1"/>
    <hyperlink ref="A70" location="'Page 10'!A1" display="'Page 10'!A1"/>
    <hyperlink ref="A128" location="'Reserve Balance'!A1" display="Reserve Balance tab"/>
    <hyperlink ref="A129:A134" location="'Reserve Balance'!A1" display="Reserve Balance tab"/>
    <hyperlink ref="A139" location="'Reserve Balance'!A25" display="Reserve Balance tab"/>
    <hyperlink ref="A140:A141" location="'Reserve Balance'!A25" display="Reserve Balance tab"/>
    <hyperlink ref="A69" location="'Page 10'!A1" display="'Page 10'!A1"/>
    <hyperlink ref="A71" location="'Page 10'!A1" display="'Page 10'!A1"/>
    <hyperlink ref="C77" r:id="rId6" display="https://www.azauditor.gov/District_charter_ADE_COVID-19_spending_special_report_FY_2022"/>
    <hyperlink ref="A72" location="'Page 10'!A1" display="'Page 10'!A1"/>
    <hyperlink ref="A88" location="'Page 10'!A1" display="'Page 10'!A1"/>
    <hyperlink ref="A73" location="'Page 10'!A1" display="'Page 10'!A1"/>
    <hyperlink ref="A74" location="'Page 10'!A1" display="'Page 10'!A1"/>
    <hyperlink ref="A75" location="'Page 10'!A1" display="'Page 10'!A1"/>
    <hyperlink ref="A78" location="'Page 10'!A1" display="'Page 10'!A1"/>
    <hyperlink ref="A79" location="'Page 10'!A1" display="'Page 10'!A1"/>
    <hyperlink ref="A80" location="'Page 10'!A1" display="'Page 10'!A1"/>
    <hyperlink ref="A81" location="'Page 10'!A1" display="'Page 10'!A1"/>
    <hyperlink ref="A82" location="'Page 10'!A1" display="'Page 10'!A1"/>
    <hyperlink ref="A83" location="'Page 10'!A1" display="'Page 10'!A1"/>
    <hyperlink ref="A84" location="'Page 10'!A1" display="'Page 10'!A1"/>
    <hyperlink ref="A85" location="'Page 10'!A1" display="'Page 10'!A1"/>
    <hyperlink ref="A86" location="'Page 10'!A1" display="'Page 10'!A1"/>
    <hyperlink ref="A87" location="'Page 10'!A1" display="'Page 10'!A1"/>
    <hyperlink ref="A124" location="Summary!A1" display="Summary"/>
    <hyperlink ref="A125" location="Summary!A1" display="Summary"/>
    <hyperlink ref="A126" location="Summary!A1" display="Summary"/>
    <hyperlink ref="A127" location="Summary!A1" display="Summary"/>
    <hyperlink ref="A46" location="'Page 8'!A1" display="'Page 8'!A1"/>
    <hyperlink ref="A76:A77" location="'Page 10'!A1" display="'Page 10'!A1"/>
    <hyperlink ref="A135" location="'Reserve Balance'!A1" display="Reserve Balance tab"/>
    <hyperlink ref="A136" location="'Reserve Balance'!A1" display="Reserve Balance tab"/>
    <hyperlink ref="A137" location="'Reserve Balance'!A1" display="Reserve Balance tab"/>
    <hyperlink ref="A138" location="'Reserve Balance'!A1" display="Reserve Balance tab"/>
    <hyperlink ref="C104" r:id="rId7"/>
    <hyperlink ref="A22" location="'Page 3'!A1" display="'Page 3'!A1"/>
    <hyperlink ref="A23" location="'Page 3'!A1" display="'Page 3'!A1"/>
    <hyperlink ref="A26" location="'Page 5'!A1" display="'Page 5'!A1"/>
    <hyperlink ref="A25" location="'Page 4'!A1" display="'Page 4'!A1"/>
    <hyperlink ref="A34" location="'Page 6'!A1" display="'Page 6'!A1"/>
    <hyperlink ref="A89" location="'Food Service'!A1" display="Food Service AFR"/>
    <hyperlink ref="A103" location="'Food Service'!A1" display="Food Service AFR"/>
    <hyperlink ref="A105" location="'Food Service'!A1" display="Food Service AFR"/>
    <hyperlink ref="A90:A102" location="'Food Service'!A1" display="Food Service AFR"/>
    <hyperlink ref="A106:A123" location="'Food Service'!A1" display="Food Service AFR"/>
    <hyperlink ref="A8" location="'Cover Page'!A1" display="Cover"/>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3"/>
  <sheetViews>
    <sheetView showGridLines="0" zoomScaleNormal="100" workbookViewId="0">
      <selection activeCell="Q34" sqref="Q33:R34"/>
    </sheetView>
  </sheetViews>
  <sheetFormatPr defaultColWidth="9.33203125" defaultRowHeight="12.75" x14ac:dyDescent="0.2"/>
  <cols>
    <col min="1" max="1" width="3.33203125" customWidth="1"/>
    <col min="2" max="2" width="17.83203125" customWidth="1"/>
    <col min="3" max="3" width="33.33203125" customWidth="1"/>
    <col min="4" max="4" width="13.83203125" customWidth="1"/>
    <col min="5" max="5" width="5" customWidth="1"/>
    <col min="6" max="6" width="14" customWidth="1"/>
    <col min="7" max="7" width="7.33203125" customWidth="1"/>
    <col min="8" max="8" width="13.83203125" customWidth="1"/>
    <col min="9" max="11" width="9.33203125" customWidth="1"/>
    <col min="12" max="12" width="10.33203125" customWidth="1"/>
    <col min="13" max="13" width="11.33203125" customWidth="1"/>
    <col min="14" max="17" width="9.33203125" customWidth="1"/>
    <col min="18" max="26" width="9.33203125" hidden="1" customWidth="1"/>
    <col min="27" max="27" width="9.33203125" customWidth="1"/>
  </cols>
  <sheetData>
    <row r="1" spans="1:14" x14ac:dyDescent="0.2">
      <c r="A1" s="788" t="s">
        <v>0</v>
      </c>
      <c r="B1" s="788"/>
      <c r="C1" s="1" t="str">
        <f>'Cover Page'!D1</f>
        <v>Eduprize Schools LLC</v>
      </c>
      <c r="G1" s="62" t="s">
        <v>1</v>
      </c>
      <c r="H1" s="806" t="str">
        <f>'Cover Page'!M1</f>
        <v>Pinal</v>
      </c>
      <c r="I1" s="806"/>
      <c r="L1" s="62" t="s">
        <v>2</v>
      </c>
      <c r="M1" s="805" t="str">
        <f>'Cover Page'!R1</f>
        <v>078687000</v>
      </c>
      <c r="N1" s="806"/>
    </row>
    <row r="2" spans="1:14" x14ac:dyDescent="0.2">
      <c r="F2" s="4"/>
      <c r="G2" s="4"/>
      <c r="H2" t="s">
        <v>20</v>
      </c>
    </row>
    <row r="3" spans="1:14" x14ac:dyDescent="0.2">
      <c r="A3" s="549" t="s">
        <v>21</v>
      </c>
      <c r="B3" s="549"/>
      <c r="D3" s="809" t="s">
        <v>724</v>
      </c>
      <c r="E3" s="809"/>
      <c r="F3" s="809"/>
    </row>
    <row r="4" spans="1:14" x14ac:dyDescent="0.2">
      <c r="A4" s="549" t="s">
        <v>22</v>
      </c>
      <c r="H4" s="63" t="s">
        <v>23</v>
      </c>
      <c r="J4" s="64"/>
      <c r="K4" s="64"/>
      <c r="L4" s="64"/>
    </row>
    <row r="5" spans="1:14" x14ac:dyDescent="0.2">
      <c r="A5" s="7" t="s">
        <v>24</v>
      </c>
      <c r="B5" s="801" t="s">
        <v>25</v>
      </c>
      <c r="C5" s="801"/>
      <c r="D5" s="801"/>
      <c r="H5" s="552">
        <f>-(SUMIFS('Accounting data'!$G$2:$G$37002,'Accounting data'!$K$2:$K$37002,"1310*"))+SUMIFS('Accounting data'!$G$2:$G$37002,'Accounting data'!$H$2:$H$37002,"9999*",'Accounting data'!$K$2:$K$37002,"1310*")</f>
        <v>0</v>
      </c>
      <c r="I5" s="567" t="s">
        <v>24</v>
      </c>
      <c r="J5" s="64"/>
      <c r="K5" s="64"/>
      <c r="L5" s="64"/>
    </row>
    <row r="6" spans="1:14" x14ac:dyDescent="0.2">
      <c r="A6" s="7" t="s">
        <v>26</v>
      </c>
      <c r="B6" s="801" t="s">
        <v>27</v>
      </c>
      <c r="C6" s="801"/>
      <c r="D6" s="801"/>
      <c r="H6" s="552">
        <f>-(SUMIFS('Accounting data'!$G$2:$G$37002,'Accounting data'!$K$2:$K$37002,"1320*"))+SUMIFS('Accounting data'!$G$2:$G$37002,'Accounting data'!$H$2:$H$37002,"9999*",'Accounting data'!$K$2:$K$37002,"1320*")</f>
        <v>0</v>
      </c>
      <c r="I6" s="567" t="s">
        <v>26</v>
      </c>
      <c r="J6" s="64"/>
      <c r="K6" s="64"/>
      <c r="L6" s="64"/>
    </row>
    <row r="7" spans="1:14" ht="12.75" customHeight="1" x14ac:dyDescent="0.2">
      <c r="A7" s="7" t="s">
        <v>28</v>
      </c>
      <c r="B7" s="779" t="s">
        <v>29</v>
      </c>
      <c r="C7" s="779"/>
      <c r="D7" s="779"/>
      <c r="H7" s="552">
        <f>-(SUMIFS('Accounting data'!$G$2:$G$37002,'Accounting data'!$K$2:$K$37002,"1410*"))+SUMIFS('Accounting data'!$G$2:$G$37002,'Accounting data'!$H$2:$H$37002,"9999*",'Accounting data'!$K$2:$K$37002,"1410*")</f>
        <v>0</v>
      </c>
      <c r="I7" s="567" t="s">
        <v>28</v>
      </c>
      <c r="J7" s="807" t="s">
        <v>30</v>
      </c>
      <c r="K7" s="807"/>
      <c r="L7" s="64"/>
    </row>
    <row r="8" spans="1:14" x14ac:dyDescent="0.2">
      <c r="A8" s="7" t="s">
        <v>31</v>
      </c>
      <c r="B8" s="779" t="s">
        <v>32</v>
      </c>
      <c r="C8" s="779"/>
      <c r="D8" s="779"/>
      <c r="H8" s="552">
        <f>-(SUMIFS('Accounting data'!$G$2:$G$37002,'Accounting data'!$K$2:$K$37002,"1420*"))+SUMIFS('Accounting data'!$G$2:$G$37002,'Accounting data'!$H$2:$H$37002,"9999*",'Accounting data'!$K$2:$K$37002,"1420*")</f>
        <v>0</v>
      </c>
      <c r="I8" s="567" t="s">
        <v>31</v>
      </c>
      <c r="J8" s="807"/>
      <c r="K8" s="807"/>
      <c r="L8" s="64"/>
    </row>
    <row r="9" spans="1:14" x14ac:dyDescent="0.2">
      <c r="A9" s="7" t="s">
        <v>33</v>
      </c>
      <c r="B9" s="779" t="s">
        <v>34</v>
      </c>
      <c r="C9" s="779"/>
      <c r="H9" s="552">
        <f>-(SUMIFS('Accounting data'!$G$2:$G$37002,'Accounting data'!$K$2:$K$37002,"1500*"))+SUMIFS('Accounting data'!$G$2:$G$37002,'Accounting data'!$H$2:$H$37002,"9999*",'Accounting data'!$K$2:$K$37002,"1500*")</f>
        <v>0</v>
      </c>
      <c r="I9" s="567" t="s">
        <v>33</v>
      </c>
      <c r="J9" s="807"/>
      <c r="K9" s="807"/>
      <c r="L9" s="64"/>
    </row>
    <row r="10" spans="1:14" x14ac:dyDescent="0.2">
      <c r="A10" s="668" t="s">
        <v>35</v>
      </c>
      <c r="B10" s="778" t="s">
        <v>1298</v>
      </c>
      <c r="C10" s="778"/>
      <c r="H10" s="552">
        <f>IF('Food Service'!$E$7="",J10,'Food Service'!$E$7)</f>
        <v>0</v>
      </c>
      <c r="I10" s="567" t="s">
        <v>35</v>
      </c>
      <c r="J10" s="808">
        <f>-(SUMIFS('Accounting data'!$G$2:$G$37002,'Accounting data'!$K$2:$K$37002,"1600*"))+SUMIFS('Accounting data'!$G$2:$G$37002,'Accounting data'!$H$2:$H$37002,"9999*",'Accounting data'!$K$2:$K$37002,"1600*")</f>
        <v>0</v>
      </c>
      <c r="K10" s="808"/>
      <c r="L10" s="64" t="str">
        <f>IF(H10&lt;&gt;J10,"The amount reported for 1600 food service revenue from the Food Service AFR does not agree to the amount in the Accounting Data Tab. Please verify the amounts and ensure they agree.","")</f>
        <v/>
      </c>
    </row>
    <row r="11" spans="1:14" x14ac:dyDescent="0.2">
      <c r="A11" s="7" t="s">
        <v>36</v>
      </c>
      <c r="B11" s="779" t="s">
        <v>37</v>
      </c>
      <c r="C11" s="779"/>
      <c r="H11" s="552">
        <f>-(SUMIFS('Accounting data'!$G$2:$G$37002,'Accounting data'!$K$2:$K$37002,"1700*"))+SUMIFS('Accounting data'!$G$2:$G$37002,'Accounting data'!$H$2:$H$37002,"9999*",'Accounting data'!$K$2:$K$37002,"1700*")</f>
        <v>344897</v>
      </c>
      <c r="I11" s="567" t="s">
        <v>36</v>
      </c>
      <c r="J11" s="64"/>
      <c r="K11" s="64"/>
      <c r="L11" s="64"/>
    </row>
    <row r="12" spans="1:14" x14ac:dyDescent="0.2">
      <c r="A12" s="65" t="s">
        <v>38</v>
      </c>
      <c r="B12" s="779" t="s">
        <v>39</v>
      </c>
      <c r="C12" s="779"/>
      <c r="D12" s="779"/>
      <c r="E12" s="779"/>
      <c r="F12" s="779"/>
      <c r="H12" s="552">
        <f>-(SUMIFS('Accounting data'!$G$2:$G$37002,'Accounting data'!$K$2:$K$37002,"1750*"))+SUMIFS('Accounting data'!$G$2:$G$37002,'Accounting data'!$H$2:$H$37002,"9999*",'Accounting data'!$K$2:$K$37002,"1750*")</f>
        <v>0</v>
      </c>
      <c r="I12" s="579" t="s">
        <v>38</v>
      </c>
      <c r="J12" s="64"/>
      <c r="K12" s="64"/>
      <c r="L12" s="64"/>
    </row>
    <row r="13" spans="1:14" x14ac:dyDescent="0.2">
      <c r="A13" s="66" t="s">
        <v>40</v>
      </c>
      <c r="B13" s="779" t="s">
        <v>41</v>
      </c>
      <c r="C13" s="779"/>
      <c r="H13" s="552">
        <f>-(SUMIFS('Accounting data'!$G$2:$G$37002,'Accounting data'!$K$2:$K$37002,"1790*"))+SUMIFS('Accounting data'!$G$2:$G$37002,'Accounting data'!$H$2:$H$37002,"9999*",'Accounting data'!$K$2:$K$37002,"1790*")</f>
        <v>418229</v>
      </c>
      <c r="I13" s="579" t="s">
        <v>40</v>
      </c>
      <c r="J13" s="67"/>
      <c r="K13" s="64"/>
      <c r="L13" s="64"/>
    </row>
    <row r="14" spans="1:14" x14ac:dyDescent="0.2">
      <c r="A14" s="66" t="s">
        <v>42</v>
      </c>
      <c r="B14" s="779" t="s">
        <v>43</v>
      </c>
      <c r="C14" s="779"/>
      <c r="H14" s="673">
        <f>-(SUMIFS('Accounting data'!$G$2:$G$37002,'Accounting data'!$K$2:$K$37002,"1800*"))+SUMIFS('Accounting data'!$G$2:$G$37002,'Accounting data'!$H$2:$H$37002,"9999*",'Accounting data'!$K$2:$K$37002,"1800*")</f>
        <v>0</v>
      </c>
      <c r="I14" s="579" t="s">
        <v>42</v>
      </c>
      <c r="J14" s="64"/>
      <c r="K14" s="64"/>
      <c r="L14" s="64"/>
    </row>
    <row r="15" spans="1:14" x14ac:dyDescent="0.2">
      <c r="A15" s="66" t="s">
        <v>44</v>
      </c>
      <c r="B15" s="700" t="s">
        <v>1290</v>
      </c>
      <c r="C15" s="698"/>
      <c r="D15" s="699"/>
      <c r="E15" s="698"/>
      <c r="F15" s="699"/>
      <c r="H15" s="673">
        <f>-(SUMIFS('Accounting data'!$G$2:$G$37002,'Accounting data'!$K$2:$K$37002,"1900*"))+SUMIFS('Accounting data'!$G$2:$G$37002,'Accounting data'!$H$2:$H$37002,"9999*",'Accounting data'!$K$2:$K$37002,"1900*")</f>
        <v>313982</v>
      </c>
      <c r="I15" s="579" t="s">
        <v>44</v>
      </c>
      <c r="J15" s="64"/>
      <c r="K15" s="64"/>
      <c r="L15" s="64"/>
    </row>
    <row r="16" spans="1:14" x14ac:dyDescent="0.2">
      <c r="A16" s="66" t="s">
        <v>45</v>
      </c>
      <c r="B16" s="700" t="s">
        <v>1277</v>
      </c>
      <c r="C16" s="700"/>
      <c r="D16" s="700"/>
      <c r="E16" s="700"/>
      <c r="F16" s="700"/>
      <c r="H16" s="673">
        <f>-(SUMIFS('Accounting data'!$G$2:$G$37002,'Accounting data'!$K$2:$K$37002,"1910*"))+SUMIFS('Accounting data'!$G$2:$G$37002,'Accounting data'!$H$2:$H$37002,"9999*",'Accounting data'!$K$2:$K$37002,"1910*")</f>
        <v>0</v>
      </c>
      <c r="I16" s="579" t="s">
        <v>45</v>
      </c>
      <c r="J16" s="64"/>
      <c r="K16" s="64"/>
      <c r="L16" s="64"/>
    </row>
    <row r="17" spans="1:27" x14ac:dyDescent="0.2">
      <c r="A17" s="66" t="s">
        <v>47</v>
      </c>
      <c r="B17" s="779" t="s">
        <v>46</v>
      </c>
      <c r="C17" s="779"/>
      <c r="H17" s="673">
        <f>-(SUMIFS('Accounting data'!$G$2:$G$37002,'Accounting data'!$K$2:$K$37002,"1920*"))+SUMIFS('Accounting data'!$G$2:$G$37002,'Accounting data'!$H$2:$H$37002,"9999*",'Accounting data'!$K$2:$K$37002,"1920*")</f>
        <v>0</v>
      </c>
      <c r="I17" s="579" t="s">
        <v>47</v>
      </c>
      <c r="J17" s="64"/>
      <c r="K17" s="64"/>
      <c r="L17" s="64"/>
    </row>
    <row r="18" spans="1:27" x14ac:dyDescent="0.2">
      <c r="A18" s="66" t="s">
        <v>49</v>
      </c>
      <c r="B18" s="700" t="s">
        <v>1278</v>
      </c>
      <c r="C18" s="700"/>
      <c r="D18" s="700"/>
      <c r="E18" s="700"/>
      <c r="F18" s="700"/>
      <c r="H18" s="673">
        <f>-(SUMIFS('Accounting data'!$G$2:$G$37002,'Accounting data'!$K$2:$K$37002,"1950*"))+SUMIFS('Accounting data'!$G$2:$G$37002,'Accounting data'!$H$2:$H$37002,"9999*",'Accounting data'!$K$2:$K$37002,"1950*")</f>
        <v>0</v>
      </c>
      <c r="I18" s="579" t="s">
        <v>49</v>
      </c>
      <c r="J18" s="64"/>
      <c r="K18" s="64"/>
      <c r="L18" s="64"/>
    </row>
    <row r="19" spans="1:27" x14ac:dyDescent="0.2">
      <c r="A19" s="66" t="s">
        <v>51</v>
      </c>
      <c r="B19" s="700" t="s">
        <v>1279</v>
      </c>
      <c r="C19" s="700"/>
      <c r="D19" s="700"/>
      <c r="E19" s="700"/>
      <c r="F19" s="700"/>
      <c r="H19" s="673">
        <f>-(SUMIFS('Accounting data'!$G$2:$G$37002,'Accounting data'!$K$2:$K$37002,"1960*"))+SUMIFS('Accounting data'!$G$2:$G$37002,'Accounting data'!$H$2:$H$37002,"9999*",'Accounting data'!$K$2:$K$37002,"1960*")</f>
        <v>0</v>
      </c>
      <c r="I19" s="579" t="s">
        <v>51</v>
      </c>
      <c r="J19" s="64"/>
      <c r="K19" s="64"/>
      <c r="L19" s="64"/>
    </row>
    <row r="20" spans="1:27" ht="15" x14ac:dyDescent="0.25">
      <c r="A20" s="672" t="s">
        <v>53</v>
      </c>
      <c r="B20" s="778" t="s">
        <v>48</v>
      </c>
      <c r="C20" s="778"/>
      <c r="D20" s="803"/>
      <c r="E20" s="804"/>
      <c r="F20" s="804"/>
      <c r="H20" s="673">
        <f>-(SUMIFS('Accounting data'!$G$2:$G$37002,'Accounting data'!$K$2:$K$37002,"Other Revenue from Local Sources"))+SUMIFS('Accounting data'!$G$2:$G$37002,'Accounting data'!$H$2:$H$37002,"9999*",'Accounting data'!$K$2:$K$37002,"Other Revenue from Local Sources")</f>
        <v>0</v>
      </c>
      <c r="I20" s="579" t="s">
        <v>53</v>
      </c>
      <c r="J20" s="64"/>
      <c r="K20" s="64"/>
      <c r="L20" s="64"/>
      <c r="AA20" s="51" t="str">
        <f>IF(OR(AND(D20="",H20&lt;&gt;0),AND(D25="",H25&lt;&gt;0),AND(D32="",H32&lt;&gt;0),AND(D40="",H40&lt;&gt;0)),"yes","")</f>
        <v/>
      </c>
    </row>
    <row r="21" spans="1:27" x14ac:dyDescent="0.2">
      <c r="A21" s="672" t="s">
        <v>55</v>
      </c>
      <c r="B21" s="778" t="s">
        <v>1299</v>
      </c>
      <c r="C21" s="778"/>
      <c r="H21" s="551">
        <f>-(SUMIFS('Accounting data'!$G$2:$G$37002,'Accounting data'!$K$2:$K$37002,"1*"))+SUMIFS('Accounting data'!$G$2:$G$37002,'Accounting data'!$H$2:$H$37002,"9999*",'Accounting data'!$K$2:$K$37002,"1*")+H20</f>
        <v>1077107</v>
      </c>
      <c r="I21" s="579" t="s">
        <v>55</v>
      </c>
      <c r="J21" s="64"/>
      <c r="K21" s="64"/>
      <c r="L21" s="64"/>
    </row>
    <row r="22" spans="1:27" x14ac:dyDescent="0.2">
      <c r="A22" s="549" t="s">
        <v>50</v>
      </c>
      <c r="B22" s="549"/>
      <c r="H22" s="29"/>
      <c r="I22" s="567" t="s">
        <v>20</v>
      </c>
      <c r="J22" s="64"/>
      <c r="K22" s="64"/>
      <c r="L22" s="64"/>
    </row>
    <row r="23" spans="1:27" x14ac:dyDescent="0.2">
      <c r="A23" s="672" t="s">
        <v>57</v>
      </c>
      <c r="B23" s="778" t="s">
        <v>52</v>
      </c>
      <c r="C23" s="778"/>
      <c r="H23" s="552">
        <f>-(SUMIFS('Accounting data'!$G$2:$G$37002,'Accounting data'!$K$2:$K$37002,"2100*"))+SUMIFS('Accounting data'!$G$2:$G$37002,'Accounting data'!$H$2:$H$37002,"9999*",'Accounting data'!$K$2:$K$37002,"2100*")</f>
        <v>0</v>
      </c>
      <c r="I23" s="579" t="s">
        <v>57</v>
      </c>
      <c r="J23" s="64"/>
      <c r="K23" s="64"/>
      <c r="L23" s="64"/>
    </row>
    <row r="24" spans="1:27" x14ac:dyDescent="0.2">
      <c r="A24" s="672" t="s">
        <v>59</v>
      </c>
      <c r="B24" s="778" t="s">
        <v>54</v>
      </c>
      <c r="C24" s="778"/>
      <c r="H24" s="552">
        <f>-(SUMIFS('Accounting data'!$G$2:$G$37002,'Accounting data'!$K$2:$K$37002,"2200*"))+SUMIFS('Accounting data'!$G$2:$G$37002,'Accounting data'!$H$2:$H$37002,"9999*",'Accounting data'!$K$2:$K$37002,"2200*")</f>
        <v>0</v>
      </c>
      <c r="I24" s="579" t="s">
        <v>59</v>
      </c>
      <c r="J24" s="64"/>
      <c r="K24" s="64"/>
      <c r="L24" s="64"/>
    </row>
    <row r="25" spans="1:27" ht="15" x14ac:dyDescent="0.25">
      <c r="A25" s="672" t="s">
        <v>61</v>
      </c>
      <c r="B25" s="778" t="s">
        <v>56</v>
      </c>
      <c r="C25" s="778"/>
      <c r="D25" s="803"/>
      <c r="E25" s="804"/>
      <c r="F25" s="804"/>
      <c r="H25" s="552">
        <f>-(SUMIFS('Accounting data'!$G$2:$G$37002,'Accounting data'!$K$2:$K$37002,"Other Revenue from Intermediate Sources"))+SUMIFS('Accounting data'!$G$2:$G$37002,'Accounting data'!$H$2:$H$37002,"9999*",'Accounting data'!$K$2:$K$37002,"Other Revenue from Intermediate Sources")</f>
        <v>0</v>
      </c>
      <c r="I25" s="579" t="s">
        <v>61</v>
      </c>
      <c r="J25" s="68"/>
      <c r="K25" s="68"/>
      <c r="L25" s="68"/>
      <c r="M25" s="69"/>
    </row>
    <row r="26" spans="1:27" x14ac:dyDescent="0.2">
      <c r="A26" s="672" t="s">
        <v>63</v>
      </c>
      <c r="B26" s="778" t="s">
        <v>1300</v>
      </c>
      <c r="C26" s="778"/>
      <c r="H26" s="551">
        <f>-(SUMIFS('Accounting data'!$G$2:$G$37002,'Accounting data'!$K$2:$K$37002,"2*"))+SUMIFS('Accounting data'!$G$2:$G$37002,'Accounting data'!$H$2:$H$37002,"9999*",'Accounting data'!$K$2:$K$37002,"2*")+H25</f>
        <v>0</v>
      </c>
      <c r="I26" s="579" t="s">
        <v>63</v>
      </c>
      <c r="J26" s="64"/>
      <c r="K26" s="64"/>
      <c r="L26" s="64"/>
    </row>
    <row r="27" spans="1:27" x14ac:dyDescent="0.2">
      <c r="A27" s="549" t="s">
        <v>58</v>
      </c>
      <c r="B27" s="549"/>
      <c r="H27" s="29"/>
      <c r="I27" s="567"/>
      <c r="J27" s="64"/>
      <c r="K27" s="64"/>
      <c r="L27" s="64"/>
    </row>
    <row r="28" spans="1:27" x14ac:dyDescent="0.2">
      <c r="A28" s="66" t="s">
        <v>65</v>
      </c>
      <c r="B28" s="779" t="s">
        <v>60</v>
      </c>
      <c r="C28" s="779"/>
      <c r="H28" s="552">
        <f>-(SUMIFS('Accounting data'!$G$2:$G$37002,'Accounting data'!$K$2:$K$37002,"3110*"))+SUMIFS('Accounting data'!$G$2:$G$37002,'Accounting data'!$H$2:$H$37002,"9999*",'Accounting data'!$K$2:$K$37002,"3110*")</f>
        <v>26618422</v>
      </c>
      <c r="I28" s="579" t="s">
        <v>65</v>
      </c>
      <c r="J28" s="64"/>
      <c r="K28" s="64"/>
      <c r="L28" s="64"/>
    </row>
    <row r="29" spans="1:27" x14ac:dyDescent="0.2">
      <c r="A29" s="65" t="s">
        <v>67</v>
      </c>
      <c r="B29" s="779" t="s">
        <v>62</v>
      </c>
      <c r="C29" s="779"/>
      <c r="H29" s="552">
        <f>-(SUMIFS('Accounting data'!$G$2:$G$37002,'Accounting data'!$K$2:$K$37002,"3130*"))+SUMIFS('Accounting data'!$G$2:$G$37002,'Accounting data'!$H$2:$H$37002,"9999*",'Accounting data'!$K$2:$K$37002,"3130*")</f>
        <v>272452</v>
      </c>
      <c r="I29" s="579" t="s">
        <v>67</v>
      </c>
      <c r="J29" s="64"/>
      <c r="K29" s="64"/>
      <c r="L29" s="64"/>
    </row>
    <row r="30" spans="1:27" x14ac:dyDescent="0.2">
      <c r="A30" s="669" t="s">
        <v>69</v>
      </c>
      <c r="B30" s="779" t="s">
        <v>64</v>
      </c>
      <c r="C30" s="779"/>
      <c r="H30" s="552">
        <f>-(SUMIFS('Accounting data'!$G$2:$G$37002,'Accounting data'!$K$2:$K$37002,"3200*"))+SUMIFS('Accounting data'!$G$2:$G$37002,'Accounting data'!$H$2:$H$37002,"9999*",'Accounting data'!$K$2:$K$37002,"3200*")</f>
        <v>2938254</v>
      </c>
      <c r="I30" s="579" t="s">
        <v>69</v>
      </c>
      <c r="J30" s="68"/>
      <c r="K30" s="68"/>
      <c r="L30" s="68"/>
      <c r="M30" s="69"/>
    </row>
    <row r="31" spans="1:27" x14ac:dyDescent="0.2">
      <c r="A31" s="66" t="s">
        <v>71</v>
      </c>
      <c r="B31" s="779" t="s">
        <v>66</v>
      </c>
      <c r="C31" s="779"/>
      <c r="H31" s="552">
        <f>-(SUMIFS('Accounting data'!$G$2:$G$37002,'Accounting data'!$K$2:$K$37002,"3900*"))+SUMIFS('Accounting data'!$G$2:$G$37002,'Accounting data'!$H$2:$H$37002,"9999*",'Accounting data'!$K$2:$K$37002,"3900*")</f>
        <v>0</v>
      </c>
      <c r="I31" s="579" t="s">
        <v>71</v>
      </c>
      <c r="J31" s="64"/>
      <c r="K31" s="64"/>
      <c r="L31" s="64"/>
    </row>
    <row r="32" spans="1:27" ht="15" x14ac:dyDescent="0.25">
      <c r="A32" s="66" t="s">
        <v>73</v>
      </c>
      <c r="B32" s="779" t="s">
        <v>68</v>
      </c>
      <c r="C32" s="779"/>
      <c r="D32" s="803"/>
      <c r="E32" s="804"/>
      <c r="F32" s="804"/>
      <c r="H32" s="552">
        <f>-(SUMIFS('Accounting data'!$G$2:$G$37002,'Accounting data'!$K$2:$K$37002,"Other Revenue from State Sources"))+SUMIFS('Accounting data'!$G$2:$G$37002,'Accounting data'!$H$2:$H$37002,"9999*",'Accounting data'!$K$2:$K$37002,"Other Revenue from State Sources")</f>
        <v>0</v>
      </c>
      <c r="I32" s="579" t="s">
        <v>73</v>
      </c>
      <c r="J32" s="64"/>
      <c r="K32" s="64"/>
      <c r="L32" s="64"/>
    </row>
    <row r="33" spans="1:13" x14ac:dyDescent="0.2">
      <c r="A33" s="66" t="s">
        <v>75</v>
      </c>
      <c r="B33" s="778" t="s">
        <v>1301</v>
      </c>
      <c r="C33" s="778"/>
      <c r="H33" s="551">
        <f>-(SUMIFS('Accounting data'!$G$2:$G$37002,'Accounting data'!$K$2:$K$37002,"3*"))+SUMIFS('Accounting data'!$G$2:$G$37002,'Accounting data'!$H$2:$H$37002,"9999*",'Accounting data'!$K$2:$K$37002,"3*")+H32</f>
        <v>29829128</v>
      </c>
      <c r="I33" s="579" t="s">
        <v>75</v>
      </c>
      <c r="J33" s="64"/>
      <c r="K33" s="64"/>
      <c r="L33" s="64"/>
    </row>
    <row r="34" spans="1:13" x14ac:dyDescent="0.2">
      <c r="A34" s="3" t="s">
        <v>70</v>
      </c>
      <c r="B34" s="549"/>
      <c r="H34" s="29"/>
      <c r="I34" s="567"/>
      <c r="J34" s="64"/>
      <c r="K34" s="64"/>
      <c r="L34" s="64"/>
    </row>
    <row r="35" spans="1:13" x14ac:dyDescent="0.2">
      <c r="A35" s="669" t="s">
        <v>77</v>
      </c>
      <c r="B35" s="779" t="s">
        <v>72</v>
      </c>
      <c r="C35" s="779"/>
      <c r="D35" s="779"/>
      <c r="E35" s="779"/>
      <c r="F35" s="779"/>
      <c r="H35" s="552">
        <f>-(SUMIFS('Accounting data'!$G$2:$G$37002,'Accounting data'!$K$2:$K$37002,"4100*"))+SUMIFS('Accounting data'!$G$2:$G$37002,'Accounting data'!$H$2:$H$37002,"9999*",'Accounting data'!$K$2:$K$37002,"4100*")</f>
        <v>0</v>
      </c>
      <c r="I35" s="579" t="s">
        <v>77</v>
      </c>
      <c r="J35" s="64"/>
      <c r="K35" s="64"/>
      <c r="L35" s="64"/>
      <c r="M35" s="548"/>
    </row>
    <row r="36" spans="1:13" x14ac:dyDescent="0.2">
      <c r="A36" s="669" t="s">
        <v>79</v>
      </c>
      <c r="B36" s="779" t="s">
        <v>74</v>
      </c>
      <c r="C36" s="779"/>
      <c r="D36" s="779"/>
      <c r="E36" s="779"/>
      <c r="F36" s="779"/>
      <c r="H36" s="552">
        <f>-(SUMIFS('Accounting data'!$G$2:$G$37002,'Accounting data'!$K$2:$K$37002,"4200*"))+SUMIFS('Accounting data'!$G$2:$G$37002,'Accounting data'!$H$2:$H$37002,"9999*",'Accounting data'!$K$2:$K$37002,"4200*")</f>
        <v>0</v>
      </c>
      <c r="I36" s="579" t="s">
        <v>79</v>
      </c>
      <c r="J36" s="68"/>
      <c r="K36" s="68"/>
      <c r="L36" s="64"/>
    </row>
    <row r="37" spans="1:13" x14ac:dyDescent="0.2">
      <c r="A37" s="70" t="s">
        <v>81</v>
      </c>
      <c r="B37" s="779" t="s">
        <v>76</v>
      </c>
      <c r="C37" s="779"/>
      <c r="D37" s="779"/>
      <c r="E37" s="779"/>
      <c r="F37" s="779"/>
      <c r="G37" s="779"/>
      <c r="H37" s="552">
        <f>-(SUMIFS('Accounting data'!$G$2:$G$37002,'Accounting data'!$K$2:$K$37002,"4700*"))+SUMIFS('Accounting data'!$G$2:$G$37002,'Accounting data'!$H$2:$H$37002,"9999*",'Accounting data'!$K$2:$K$37002,"4700*")</f>
        <v>0</v>
      </c>
      <c r="I37" s="579" t="s">
        <v>81</v>
      </c>
      <c r="J37" s="68"/>
      <c r="K37" s="68"/>
      <c r="L37" s="64"/>
    </row>
    <row r="38" spans="1:13" x14ac:dyDescent="0.2">
      <c r="A38" s="70" t="s">
        <v>83</v>
      </c>
      <c r="B38" s="567" t="s">
        <v>78</v>
      </c>
      <c r="H38" s="552">
        <f>-(SUMIFS('Accounting data'!$G$2:$G$37002,'Accounting data'!$K$2:$K$37002,"4800*"))+SUMIFS('Accounting data'!$G$2:$G$37002,'Accounting data'!$H$2:$H$37002,"9999*",'Accounting data'!$K$2:$K$37002,"4800*")</f>
        <v>0</v>
      </c>
      <c r="I38" s="579" t="s">
        <v>83</v>
      </c>
      <c r="J38" s="64"/>
      <c r="K38" s="64"/>
      <c r="L38" s="64"/>
    </row>
    <row r="39" spans="1:13" x14ac:dyDescent="0.2">
      <c r="A39" s="70" t="s">
        <v>84</v>
      </c>
      <c r="B39" s="779" t="s">
        <v>80</v>
      </c>
      <c r="C39" s="779"/>
      <c r="D39" s="779"/>
      <c r="E39" s="779"/>
      <c r="F39" s="779"/>
      <c r="G39" s="779"/>
      <c r="H39" s="552">
        <f>-(SUMIFS('Accounting data'!$G$2:$G$37002,'Accounting data'!$K$2:$K$37002,"4900*"))+SUMIFS('Accounting data'!$G$2:$G$37002,'Accounting data'!$H$2:$H$37002,"9999*",'Accounting data'!$K$2:$K$37002,"4900*")</f>
        <v>0</v>
      </c>
      <c r="I39" s="579" t="s">
        <v>84</v>
      </c>
      <c r="J39" s="64"/>
      <c r="K39" s="64"/>
      <c r="L39" s="64"/>
    </row>
    <row r="40" spans="1:13" ht="15" x14ac:dyDescent="0.25">
      <c r="A40" s="70" t="s">
        <v>137</v>
      </c>
      <c r="B40" s="779" t="s">
        <v>82</v>
      </c>
      <c r="C40" s="779"/>
      <c r="D40" s="803"/>
      <c r="E40" s="804"/>
      <c r="F40" s="804"/>
      <c r="H40" s="552">
        <f>-(SUMIFS('Accounting data'!$G$2:$G$37002,'Accounting data'!$K$2:$K$37002,"Other Revenue from Federal Sources"))+SUMIFS('Accounting data'!$G$2:$G$37002,'Accounting data'!$H$2:$H$37002,"9999*",'Accounting data'!$K$2:$K$37002,"Other Revenue from Federal Sources")</f>
        <v>0</v>
      </c>
      <c r="I40" s="579" t="s">
        <v>137</v>
      </c>
      <c r="J40" s="64"/>
      <c r="K40" s="64"/>
      <c r="L40" s="64"/>
    </row>
    <row r="41" spans="1:13" x14ac:dyDescent="0.2">
      <c r="A41" s="70" t="s">
        <v>138</v>
      </c>
      <c r="B41" s="778" t="s">
        <v>1302</v>
      </c>
      <c r="C41" s="778"/>
      <c r="H41" s="606">
        <f>-(SUMIFS('Accounting data'!$G$2:$G$37002,'Accounting data'!$K$2:$K$37002,"4*"))+SUMIFS('Accounting data'!$G$2:$G$37002,'Accounting data'!$H$2:$H$37002,"9999*",'Accounting data'!$K$2:$K$37002,"4*")+H40</f>
        <v>0</v>
      </c>
      <c r="I41" s="579" t="s">
        <v>138</v>
      </c>
      <c r="J41" s="64"/>
      <c r="K41" s="64"/>
      <c r="L41" s="64"/>
    </row>
    <row r="42" spans="1:13" x14ac:dyDescent="0.2">
      <c r="A42" s="7"/>
      <c r="B42" s="549"/>
      <c r="H42" s="29"/>
      <c r="I42" s="567"/>
      <c r="J42" s="64"/>
      <c r="K42" s="64"/>
      <c r="L42" s="64"/>
    </row>
    <row r="43" spans="1:13" x14ac:dyDescent="0.2">
      <c r="A43" s="70" t="s">
        <v>140</v>
      </c>
      <c r="B43" s="802" t="s">
        <v>1303</v>
      </c>
      <c r="C43" s="802"/>
      <c r="D43" s="802"/>
      <c r="H43" s="552">
        <f>SUM(H21,H26,H33,H41)</f>
        <v>30906235</v>
      </c>
      <c r="I43" s="579" t="s">
        <v>140</v>
      </c>
      <c r="J43" s="64"/>
      <c r="K43" s="64"/>
      <c r="L43" s="64"/>
    </row>
  </sheetData>
  <sheetProtection sheet="1" formatCells="0" formatColumns="0" formatRows="0"/>
  <mergeCells count="41">
    <mergeCell ref="B32:C32"/>
    <mergeCell ref="B13:C13"/>
    <mergeCell ref="B14:C14"/>
    <mergeCell ref="B20:C20"/>
    <mergeCell ref="B29:C29"/>
    <mergeCell ref="B17:C17"/>
    <mergeCell ref="B26:C26"/>
    <mergeCell ref="B28:C28"/>
    <mergeCell ref="B23:C23"/>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s>
  <conditionalFormatting sqref="D20 D25 D32 D40">
    <cfRule type="expression" dxfId="81" priority="1" stopIfTrue="1">
      <formula>AND($D20="",$H20&lt;&gt;0)</formula>
    </cfRule>
  </conditionalFormatting>
  <hyperlinks>
    <hyperlink ref="A30" location="Restricted3200" display="16."/>
    <hyperlink ref="A35" location="Unrestricted_Restricted_4100_4300" display="20."/>
    <hyperlink ref="A10" location="Food_Service_1600" display="6."/>
    <hyperlink ref="A36" location="Unrestricted_Restricted_4200_4500" display="26."/>
    <hyperlink ref="D3:E3" location="GeneralPage1" display="Instructions"/>
  </hyperlinks>
  <pageMargins left="0.7" right="0.7" top="0.75" bottom="0.75" header="0.3" footer="0.3"/>
  <pageSetup paperSize="5" scale="91" orientation="landscape" r:id="rId1"/>
  <headerFooter>
    <oddFooter>&amp;LRev. 8/25 Arizona Department of Education and Auditor General&amp;CFY 2025
No assurance provided.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8"/>
  <sheetViews>
    <sheetView showGridLines="0" workbookViewId="0">
      <selection activeCell="Q34" sqref="Q33:R34"/>
    </sheetView>
  </sheetViews>
  <sheetFormatPr defaultColWidth="9.33203125" defaultRowHeight="12.75" customHeight="1" x14ac:dyDescent="0.2"/>
  <cols>
    <col min="1" max="1" width="20.83203125" customWidth="1"/>
    <col min="2" max="2" width="34.1640625" customWidth="1"/>
    <col min="3" max="3" width="3.83203125" customWidth="1"/>
    <col min="4" max="5" width="12.83203125" customWidth="1"/>
    <col min="6" max="6" width="14.83203125" customWidth="1"/>
    <col min="7" max="12" width="12.83203125" customWidth="1"/>
    <col min="13" max="13" width="3" customWidth="1"/>
    <col min="14" max="14" width="9.33203125" customWidth="1"/>
  </cols>
  <sheetData>
    <row r="1" spans="1:32" ht="12" customHeight="1" x14ac:dyDescent="0.2">
      <c r="A1" s="549" t="s">
        <v>0</v>
      </c>
      <c r="B1" s="806" t="str">
        <f>'Cover Page'!D1</f>
        <v>Eduprize Schools LLC</v>
      </c>
      <c r="C1" s="806"/>
      <c r="F1" s="62" t="s">
        <v>1</v>
      </c>
      <c r="G1" s="1" t="str">
        <f>'Cover Page'!M1</f>
        <v>Pinal</v>
      </c>
      <c r="J1" s="62"/>
      <c r="K1" s="62" t="s">
        <v>2</v>
      </c>
      <c r="L1" s="2" t="str">
        <f>'Cover Page'!R1</f>
        <v>078687000</v>
      </c>
    </row>
    <row r="2" spans="1:32" ht="3.75" customHeight="1" x14ac:dyDescent="0.2">
      <c r="L2" s="4"/>
    </row>
    <row r="3" spans="1:32" ht="15.75" customHeight="1" x14ac:dyDescent="0.2">
      <c r="A3" s="71"/>
      <c r="B3" s="694" t="s">
        <v>724</v>
      </c>
      <c r="C3" s="641"/>
      <c r="D3" s="642"/>
      <c r="E3" s="75" t="s">
        <v>85</v>
      </c>
      <c r="F3" s="570" t="s">
        <v>86</v>
      </c>
      <c r="G3" s="75"/>
      <c r="H3" s="76"/>
      <c r="I3" s="819" t="s">
        <v>87</v>
      </c>
      <c r="J3" s="819"/>
      <c r="K3" s="819"/>
      <c r="L3" s="816" t="s">
        <v>88</v>
      </c>
    </row>
    <row r="4" spans="1:32" ht="12" customHeight="1" x14ac:dyDescent="0.2">
      <c r="A4" s="77" t="s">
        <v>89</v>
      </c>
      <c r="C4" s="78"/>
      <c r="D4" s="79" t="s">
        <v>90</v>
      </c>
      <c r="E4" s="80" t="s">
        <v>91</v>
      </c>
      <c r="F4" s="81" t="s">
        <v>92</v>
      </c>
      <c r="G4" s="82" t="s">
        <v>93</v>
      </c>
      <c r="H4" s="79" t="s">
        <v>94</v>
      </c>
      <c r="I4" s="83"/>
      <c r="J4" s="83"/>
      <c r="K4" s="570" t="s">
        <v>95</v>
      </c>
      <c r="L4" s="817"/>
    </row>
    <row r="5" spans="1:32" ht="11.25" customHeight="1" x14ac:dyDescent="0.2">
      <c r="A5" s="84" t="s">
        <v>96</v>
      </c>
      <c r="B5" s="6"/>
      <c r="C5" s="85"/>
      <c r="D5" s="575">
        <v>6100</v>
      </c>
      <c r="E5" s="86">
        <v>6200</v>
      </c>
      <c r="F5" s="86" t="s">
        <v>97</v>
      </c>
      <c r="G5" s="576">
        <v>6600</v>
      </c>
      <c r="H5" s="575">
        <v>6800</v>
      </c>
      <c r="I5" s="569" t="s">
        <v>98</v>
      </c>
      <c r="J5" s="86" t="s">
        <v>23</v>
      </c>
      <c r="K5" s="86" t="s">
        <v>99</v>
      </c>
      <c r="L5" s="818"/>
    </row>
    <row r="6" spans="1:32" ht="12" customHeight="1" x14ac:dyDescent="0.2">
      <c r="A6" s="87" t="s">
        <v>100</v>
      </c>
      <c r="B6" s="72"/>
      <c r="C6" s="73"/>
      <c r="D6" s="88"/>
      <c r="E6" s="88"/>
      <c r="F6" s="88"/>
      <c r="G6" s="88"/>
      <c r="H6" s="88"/>
      <c r="I6" s="88"/>
      <c r="J6" s="88"/>
      <c r="K6" s="88"/>
      <c r="L6" s="811">
        <f>IF(J7=K7,0,IF(K7&gt;0,(J7-K7)/K7,"--"))</f>
        <v>5.3800000000000001E-2</v>
      </c>
      <c r="S6" s="548"/>
    </row>
    <row r="7" spans="1:32" ht="12" customHeight="1" x14ac:dyDescent="0.2">
      <c r="A7" s="89" t="s">
        <v>101</v>
      </c>
      <c r="C7" s="90" t="s">
        <v>24</v>
      </c>
      <c r="D7" s="555">
        <f>SUMIFS('Accounting data'!$G$2:$G$37002,'Accounting data'!$H$2:$H$37002,"1000*",'Accounting data'!$I$2:$I$37002,"1*",'Accounting data'!$J$2:$J$37002,"1*",'Accounting data'!$K$2:$K$37002,"61*")+SUMIFS('Accounting data'!$G$2:$G$37002,'Accounting data'!$H$2:$H$37002,"1500*",'Accounting data'!$I$2:$I$37002,"1*",'Accounting data'!$J$2:$J$37002,"1*",'Accounting data'!$K$2:$K$37002,"61*")</f>
        <v>9306753</v>
      </c>
      <c r="E7" s="555">
        <f>SUMIFS('Accounting data'!$G$2:$G$37002,'Accounting data'!$H$2:$H$37002,"1000*",'Accounting data'!$I$2:$I$37002,"1*",'Accounting data'!$J$2:$J$37002,"1*",'Accounting data'!$K$2:$K$37002,"62*")+SUMIFS('Accounting data'!$G$2:$G$37002,'Accounting data'!$H$2:$H$37002,"1500*",'Accounting data'!$I$2:$I$37002,"1*",'Accounting data'!$J$2:$J$37002,"1*",'Accounting data'!$K$2:$K$37002,"62*")</f>
        <v>2702304</v>
      </c>
      <c r="F7" s="555">
        <f>SUMIFS('Accounting data'!$G$2:$G$37002,'Accounting data'!$H$2:$H$37002,"1000*",'Accounting data'!$I$2:$I$37002,"1*",'Accounting data'!$J$2:$J$37002,"1*",'Accounting data'!$K$2:$K$37002,"63*")+SUMIFS('Accounting data'!$G$2:$G$37002,'Accounting data'!$H$2:$H$37002,"1500*",'Accounting data'!$I$2:$I$37002,"1*",'Accounting data'!$J$2:$J$37002,"1*",'Accounting data'!$K$2:$K$37002,"63*")+SUMIFS('Accounting data'!$G$2:$G$37002,'Accounting data'!$H$2:$H$37002,"1500*",'Accounting data'!$I$2:$I$37002,"1*",'Accounting data'!$J$2:$J$37002,"1*",'Accounting data'!$K$2:$K$37002,"6432*")+SUMIFS('Accounting data'!$G$2:$G$37002,'Accounting data'!$H$2:$H$37002,"1500*",'Accounting data'!$I$2:$I$37002,"1*",'Accounting data'!$J$2:$J$37002,"1*",'Accounting data'!$K$2:$K$37002,"6432*")+SUMIFS('Accounting data'!$G$2:$G$37002,'Accounting data'!$H$2:$H$37002,"1500*",'Accounting data'!$I$2:$I$37002,"1*",'Accounting data'!$J$2:$J$37002,"1*",'Accounting data'!$K$2:$K$37002,"6441*")+SUMIFS('Accounting data'!$G$2:$G$37002,'Accounting data'!$H$2:$H$37002,"1500*",'Accounting data'!$I$2:$I$37002,"1*",'Accounting data'!$J$2:$J$37002,"1*",'Accounting data'!$K$2:$K$37002,"6441*")+SUMIFS('Accounting data'!$G$2:$G$37002,'Accounting data'!$H$2:$H$37002,"1500*",'Accounting data'!$I$2:$I$37002,"1*",'Accounting data'!$J$2:$J$37002,"1*",'Accounting data'!$K$2:$K$37002,"6531*")+SUMIFS('Accounting data'!$G$2:$G$37002,'Accounting data'!$H$2:$H$37002,"1500*",'Accounting data'!$I$2:$I$37002,"1*",'Accounting data'!$J$2:$J$37002,"1*",'Accounting data'!$K$2:$K$37002,"6531*")</f>
        <v>172426</v>
      </c>
      <c r="G7" s="555">
        <f>SUMIFS('Accounting data'!$G$2:$G$37002,'Accounting data'!$H$2:$H$37002,"1000*",'Accounting data'!$I$2:$I$37002,"1*",'Accounting data'!$J$2:$J$37002,"1*",'Accounting data'!$K$2:$K$37002,"66*")+SUMIFS('Accounting data'!$G$2:$G$37002,'Accounting data'!$H$2:$H$37002,"1500*",'Accounting data'!$I$2:$I$37002,"1*",'Accounting data'!$J$2:$J$37002,"1*",'Accounting data'!$K$2:$K$37002,"66*")</f>
        <v>467405</v>
      </c>
      <c r="H7" s="555">
        <f>SUMIFS('Accounting data'!$G$2:$G$37002,'Accounting data'!$H$2:$H$37002,"1000*",'Accounting data'!$I$2:$I$37002,"1*",'Accounting data'!$J$2:$J$37002,"1*",'Accounting data'!$K$2:$K$37002,"68*")+SUMIFS('Accounting data'!$G$2:$G$37002,'Accounting data'!$H$2:$H$37002,"1500*",'Accounting data'!$I$2:$I$37002,"1*",'Accounting data'!$J$2:$J$37002,"1*",'Accounting data'!$K$2:$K$37002,"68*")</f>
        <v>1036</v>
      </c>
      <c r="I7" s="555">
        <f>[1]!SP1000P100F1000</f>
        <v>12530000</v>
      </c>
      <c r="J7" s="555">
        <f>SUM(D7:H7)</f>
        <v>12649924</v>
      </c>
      <c r="K7" s="555">
        <f>[2]!SP1000P100F1000</f>
        <v>12004607</v>
      </c>
      <c r="L7" s="812"/>
      <c r="M7" s="91" t="s">
        <v>24</v>
      </c>
      <c r="S7" s="548"/>
    </row>
    <row r="8" spans="1:32" ht="12" customHeight="1" x14ac:dyDescent="0.2">
      <c r="A8" s="89" t="s">
        <v>102</v>
      </c>
      <c r="C8" s="78"/>
      <c r="D8" s="88"/>
      <c r="E8" s="88"/>
      <c r="F8" s="88"/>
      <c r="G8" s="92"/>
      <c r="H8" s="88"/>
      <c r="I8" s="88"/>
      <c r="J8" s="88"/>
      <c r="K8" s="88"/>
      <c r="L8" s="813">
        <f>IF(J9=K9,0,IF(K9&gt;0,(J9-K9)/K9,"--"))</f>
        <v>0.1333</v>
      </c>
      <c r="M8" s="567"/>
      <c r="S8" s="548"/>
    </row>
    <row r="9" spans="1:32" ht="12" customHeight="1" x14ac:dyDescent="0.2">
      <c r="A9" s="89" t="s">
        <v>103</v>
      </c>
      <c r="C9" s="90" t="s">
        <v>26</v>
      </c>
      <c r="D9" s="555">
        <f>SUMIFS('Accounting data'!$G$2:$G$37002,'Accounting data'!$H$2:$H$37002,"1000*",'Accounting data'!$I$2:$I$37002,"1*",'Accounting data'!$J$2:$J$37002,"21*",'Accounting data'!$K$2:$K$37002,"61*")+SUMIFS('Accounting data'!$G$2:$G$37002,'Accounting data'!$H$2:$H$37002,"1500*",'Accounting data'!$I$2:$I$37002,"1*",'Accounting data'!$J$2:$J$37002,"21*",'Accounting data'!$K$2:$K$37002,"61*")</f>
        <v>1551501</v>
      </c>
      <c r="E9" s="555">
        <f>SUMIFS('Accounting data'!$G$2:$G$37002,'Accounting data'!$H$2:$H$37002,"1000*",'Accounting data'!$I$2:$I$37002,"1*",'Accounting data'!$J$2:$J$37002,"21*",'Accounting data'!$K$2:$K$37002,"62*")+SUMIFS('Accounting data'!$G$2:$G$37002,'Accounting data'!$H$2:$H$37002,"1500*",'Accounting data'!$I$2:$I$37002,"1*",'Accounting data'!$J$2:$J$37002,"21*",'Accounting data'!$K$2:$K$37002,"62*")</f>
        <v>346052</v>
      </c>
      <c r="F9" s="555">
        <f>SUMIFS('Accounting data'!$G$2:$G$37002,'Accounting data'!$H$2:$H$37002,"1000*",'Accounting data'!$I$2:$I$37002,"1*",'Accounting data'!$J$2:$J$37002,"21*",'Accounting data'!$K$2:$K$37002,"63*")+SUMIFS('Accounting data'!$G$2:$G$37002,'Accounting data'!$H$2:$H$37002,"1500*",'Accounting data'!$I$2:$I$37002,"1*",'Accounting data'!$J$2:$J$37002,"21*",'Accounting data'!$K$2:$K$37002,"63*")</f>
        <v>865</v>
      </c>
      <c r="G9" s="555">
        <f>SUMIFS('Accounting data'!$G$2:$G$37002,'Accounting data'!$H$2:$H$37002,"1000*",'Accounting data'!$I$2:$I$37002,"1*",'Accounting data'!$J$2:$J$37002,"21*",'Accounting data'!$K$2:$K$37002,"66*")+SUMIFS('Accounting data'!$G$2:$G$37002,'Accounting data'!$H$2:$H$37002,"1500*",'Accounting data'!$I$2:$I$37002,"1*",'Accounting data'!$J$2:$J$37002,"21*",'Accounting data'!$K$2:$K$37002,"66*")</f>
        <v>5281</v>
      </c>
      <c r="H9" s="555">
        <f>SUMIFS('Accounting data'!$G$2:$G$37002,'Accounting data'!$H$2:$H$37002,"1000*",'Accounting data'!$I$2:$I$37002,"1*",'Accounting data'!$J$2:$J$37002,"21*",'Accounting data'!$K$2:$K$37002,"68*")+SUMIFS('Accounting data'!$G$2:$G$37002,'Accounting data'!$H$2:$H$37002,"1500*",'Accounting data'!$I$2:$I$37002,"1*",'Accounting data'!$J$2:$J$37002,"21*",'Accounting data'!$K$2:$K$37002,"68*")</f>
        <v>0</v>
      </c>
      <c r="I9" s="555">
        <f>[1]!SP1000P100F2100</f>
        <v>1718000</v>
      </c>
      <c r="J9" s="555">
        <f>SUM(D9:H9)</f>
        <v>1903699</v>
      </c>
      <c r="K9" s="555">
        <f>[2]!SP1000P100F2100</f>
        <v>1679835</v>
      </c>
      <c r="L9" s="814"/>
      <c r="M9" s="91" t="s">
        <v>26</v>
      </c>
      <c r="N9" s="810" t="str">
        <f>IF('Page 2'!J48=0,"",IF(OR('Page 2'!J9&lt;=0),"The Charter did not report any expenses for student support services on line 2. If the Charter did not have any expense, verify by checking the box in A10 on the Cover Page.",""))</f>
        <v/>
      </c>
      <c r="O9" s="810"/>
      <c r="P9" s="810"/>
      <c r="Q9" s="810"/>
      <c r="R9" s="810"/>
      <c r="S9" s="810"/>
      <c r="T9" s="810"/>
      <c r="U9" s="810"/>
      <c r="V9" s="810"/>
      <c r="W9" s="810"/>
      <c r="X9" s="810"/>
      <c r="Y9" s="810"/>
      <c r="Z9" s="810"/>
      <c r="AA9" s="810"/>
      <c r="AB9" s="810"/>
      <c r="AC9" s="810"/>
      <c r="AD9" s="810"/>
      <c r="AE9" s="810"/>
      <c r="AF9" s="810"/>
    </row>
    <row r="10" spans="1:32" ht="12" customHeight="1" x14ac:dyDescent="0.2">
      <c r="A10" s="89" t="s">
        <v>104</v>
      </c>
      <c r="C10" s="90" t="s">
        <v>28</v>
      </c>
      <c r="D10" s="551">
        <f>SUMIFS('Accounting data'!$G$2:$G$37002,'Accounting data'!$H$2:$H$37002,"1000*",'Accounting data'!$I$2:$I$37002,"1*",'Accounting data'!$J$2:$J$37002,"22*",'Accounting data'!$K$2:$K$37002,"61*")+SUMIFS('Accounting data'!$G$2:$G$37002,'Accounting data'!$H$2:$H$37002,"1500*",'Accounting data'!$I$2:$I$37002,"1*",'Accounting data'!$J$2:$J$37002,"22*",'Accounting data'!$K$2:$K$37002,"61*")</f>
        <v>562478</v>
      </c>
      <c r="E10" s="551">
        <f>SUMIFS('Accounting data'!$G$2:$G$37002,'Accounting data'!$H$2:$H$37002,"1000*",'Accounting data'!$I$2:$I$37002,"1*",'Accounting data'!$J$2:$J$37002,"22*",'Accounting data'!$K$2:$K$37002,"62*")+SUMIFS('Accounting data'!$G$2:$G$37002,'Accounting data'!$H$2:$H$37002,"1500*",'Accounting data'!$I$2:$I$37002,"1*",'Accounting data'!$J$2:$J$37002,"22*",'Accounting data'!$K$2:$K$37002,"62*")</f>
        <v>120454</v>
      </c>
      <c r="F10" s="551">
        <f>SUMIFS('Accounting data'!$G$2:$G$37002,'Accounting data'!$H$2:$H$37002,"1000*",'Accounting data'!$I$2:$I$37002,"1*",'Accounting data'!$J$2:$J$37002,"22*",'Accounting data'!$K$2:$K$37002,"63*")+SUMIFS('Accounting data'!$G$2:$G$37002,'Accounting data'!$H$2:$H$37002,"1500*",'Accounting data'!$I$2:$I$37002,"1*",'Accounting data'!$J$2:$J$37002,"22*",'Accounting data'!$K$2:$K$37002,"63*")</f>
        <v>14174</v>
      </c>
      <c r="G10" s="551">
        <f>SUMIFS('Accounting data'!$G$2:$G$37002,'Accounting data'!$H$2:$H$37002,"1000*",'Accounting data'!$I$2:$I$37002,"1*",'Accounting data'!$J$2:$J$37002,"22*",'Accounting data'!$K$2:$K$37002,"66*")+SUMIFS('Accounting data'!$G$2:$G$37002,'Accounting data'!$H$2:$H$37002,"1500*",'Accounting data'!$I$2:$I$37002,"1*",'Accounting data'!$J$2:$J$37002,"22*",'Accounting data'!$K$2:$K$37002,"66*")</f>
        <v>206932</v>
      </c>
      <c r="H10" s="551">
        <f>SUMIFS('Accounting data'!$G$2:$G$37002,'Accounting data'!$H$2:$H$37002,"1000*",'Accounting data'!$I$2:$I$37002,"1*",'Accounting data'!$J$2:$J$37002,"22*",'Accounting data'!$K$2:$K$37002,"68*")+SUMIFS('Accounting data'!$G$2:$G$37002,'Accounting data'!$H$2:$H$37002,"1500*",'Accounting data'!$I$2:$I$37002,"1*",'Accounting data'!$J$2:$J$37002,"22*",'Accounting data'!$K$2:$K$37002,"68*")</f>
        <v>0</v>
      </c>
      <c r="I10" s="550">
        <f>[1]!SP1000P100F2200</f>
        <v>833000</v>
      </c>
      <c r="J10" s="552">
        <f t="shared" ref="J10:J22" si="0">SUM(D10:H10)</f>
        <v>904038</v>
      </c>
      <c r="K10" s="550">
        <f>[2]!SP1000P100F2200</f>
        <v>572253</v>
      </c>
      <c r="L10" s="553">
        <f t="shared" ref="L10:L20" si="1">IF(J10=K10,0,IF(K10&gt;0,(J10-K10)/K10,"--"))</f>
        <v>0.57979999999999998</v>
      </c>
      <c r="M10" s="91" t="s">
        <v>28</v>
      </c>
      <c r="N10" s="810" t="str">
        <f>IF('Page 2'!J48=0,"",IF(OR('Page 2'!J10&lt;=0),"The Charter did not report any expenses for instructional support services on line 3. If the Charter did not have any expense, verify by checking the box in A12 on the Cover Page.",""))</f>
        <v/>
      </c>
      <c r="O10" s="810"/>
      <c r="P10" s="810"/>
      <c r="Q10" s="810"/>
      <c r="R10" s="810"/>
      <c r="S10" s="810"/>
      <c r="T10" s="810"/>
      <c r="U10" s="810"/>
      <c r="V10" s="810"/>
      <c r="W10" s="810"/>
      <c r="X10" s="810"/>
      <c r="Y10" s="810"/>
      <c r="Z10" s="810"/>
      <c r="AA10" s="810"/>
      <c r="AB10" s="810"/>
      <c r="AC10" s="810"/>
      <c r="AD10" s="810"/>
      <c r="AE10" s="810"/>
      <c r="AF10" s="810"/>
    </row>
    <row r="11" spans="1:32" ht="12" customHeight="1" x14ac:dyDescent="0.2">
      <c r="A11" s="89" t="s">
        <v>105</v>
      </c>
      <c r="C11" s="90" t="s">
        <v>31</v>
      </c>
      <c r="D11" s="551">
        <f>SUMIFS('Accounting data'!$G$2:$G$37002,'Accounting data'!$H$2:$H$37002,"1000*",'Accounting data'!$I$2:$I$37002,"1*",'Accounting data'!$J$2:$J$37002,"23*",'Accounting data'!$K$2:$K$37002,"61*")+SUMIFS('Accounting data'!$G$2:$G$37002,'Accounting data'!$H$2:$H$37002,"1500*",'Accounting data'!$I$2:$I$37002,"1*",'Accounting data'!$J$2:$J$37002,"23*",'Accounting data'!$K$2:$K$37002,"61*")</f>
        <v>0</v>
      </c>
      <c r="E11" s="551">
        <f>SUMIFS('Accounting data'!$G$2:$G$37002,'Accounting data'!$H$2:$H$37002,"1000*",'Accounting data'!$I$2:$I$37002,"1*",'Accounting data'!$J$2:$J$37002,"23*",'Accounting data'!$K$2:$K$37002,"62*")+SUMIFS('Accounting data'!$G$2:$G$37002,'Accounting data'!$H$2:$H$37002,"1500*",'Accounting data'!$I$2:$I$37002,"1*",'Accounting data'!$J$2:$J$37002,"23*",'Accounting data'!$K$2:$K$37002,"62*")</f>
        <v>0</v>
      </c>
      <c r="F11" s="551">
        <f>SUMIFS('Accounting data'!$G$2:$G$37002,'Accounting data'!$H$2:$H$37002,"1000*",'Accounting data'!$I$2:$I$37002,"1*",'Accounting data'!$J$2:$J$37002,"23*",'Accounting data'!$K$2:$K$37002,"63*")+SUMIFS('Accounting data'!$G$2:$G$37002,'Accounting data'!$H$2:$H$37002,"1500*",'Accounting data'!$I$2:$I$37002,"1*",'Accounting data'!$J$2:$J$37002,"23*",'Accounting data'!$K$2:$K$37002,"63*")</f>
        <v>0</v>
      </c>
      <c r="G11" s="551">
        <f>SUMIFS('Accounting data'!$G$2:$G$37002,'Accounting data'!$H$2:$H$37002,"1000*",'Accounting data'!$I$2:$I$37002,"1*",'Accounting data'!$J$2:$J$37002,"23*",'Accounting data'!$K$2:$K$37002,"66*")+SUMIFS('Accounting data'!$G$2:$G$37002,'Accounting data'!$H$2:$H$37002,"1500*",'Accounting data'!$I$2:$I$37002,"1*",'Accounting data'!$J$2:$J$37002,"23*",'Accounting data'!$K$2:$K$37002,"66*")</f>
        <v>0</v>
      </c>
      <c r="H11" s="551">
        <f>SUMIFS('Accounting data'!$G$2:$G$37002,'Accounting data'!$H$2:$H$37002,"1000*",'Accounting data'!$I$2:$I$37002,"1*",'Accounting data'!$J$2:$J$37002,"23*",'Accounting data'!$K$2:$K$37002,"68*")+SUMIFS('Accounting data'!$G$2:$G$37002,'Accounting data'!$H$2:$H$37002,"1500*",'Accounting data'!$I$2:$I$37002,"1*",'Accounting data'!$J$2:$J$37002,"23*",'Accounting data'!$K$2:$K$37002,"68*")</f>
        <v>0</v>
      </c>
      <c r="I11" s="550">
        <f>[1]!SP1000P100F2300</f>
        <v>0</v>
      </c>
      <c r="J11" s="552">
        <f t="shared" si="0"/>
        <v>0</v>
      </c>
      <c r="K11" s="550">
        <f>[2]!SP1000P100F2300</f>
        <v>0</v>
      </c>
      <c r="L11" s="553">
        <f t="shared" si="1"/>
        <v>0</v>
      </c>
      <c r="M11" s="91" t="s">
        <v>31</v>
      </c>
      <c r="N11" s="8"/>
      <c r="O11" s="8"/>
      <c r="P11" s="8"/>
      <c r="Q11" s="8"/>
      <c r="R11" s="8"/>
      <c r="S11" s="8"/>
      <c r="T11" s="8"/>
      <c r="U11" s="8"/>
    </row>
    <row r="12" spans="1:32" ht="12" customHeight="1" x14ac:dyDescent="0.2">
      <c r="A12" s="89" t="s">
        <v>106</v>
      </c>
      <c r="C12" s="90" t="s">
        <v>33</v>
      </c>
      <c r="D12" s="551">
        <f>SUMIFS('Accounting data'!$G$2:$G$37002,'Accounting data'!$H$2:$H$37002,"1000*",'Accounting data'!$I$2:$I$37002,"1*",'Accounting data'!$J$2:$J$37002,"24*",'Accounting data'!$K$2:$K$37002,"61*")+SUMIFS('Accounting data'!$G$2:$G$37002,'Accounting data'!$H$2:$H$37002,"1500*",'Accounting data'!$I$2:$I$37002,"1*",'Accounting data'!$J$2:$J$37002,"24*",'Accounting data'!$K$2:$K$37002,"61*")</f>
        <v>878863</v>
      </c>
      <c r="E12" s="551">
        <f>SUMIFS('Accounting data'!$G$2:$G$37002,'Accounting data'!$H$2:$H$37002,"1000*",'Accounting data'!$I$2:$I$37002,"1*",'Accounting data'!$J$2:$J$37002,"24*",'Accounting data'!$K$2:$K$37002,"62*")+SUMIFS('Accounting data'!$G$2:$G$37002,'Accounting data'!$H$2:$H$37002,"1500*",'Accounting data'!$I$2:$I$37002,"1*",'Accounting data'!$J$2:$J$37002,"24*",'Accounting data'!$K$2:$K$37002,"62*")</f>
        <v>197251</v>
      </c>
      <c r="F12" s="551">
        <f>SUMIFS('Accounting data'!$G$2:$G$37002,'Accounting data'!$H$2:$H$37002,"1000*",'Accounting data'!$I$2:$I$37002,"1*",'Accounting data'!$J$2:$J$37002,"24*",'Accounting data'!$K$2:$K$37002,"63*")+SUMIFS('Accounting data'!$G$2:$G$37002,'Accounting data'!$H$2:$H$37002,"1500*",'Accounting data'!$I$2:$I$37002,"1*",'Accounting data'!$J$2:$J$37002,"24*",'Accounting data'!$K$2:$K$37002,"63*")</f>
        <v>39031</v>
      </c>
      <c r="G12" s="551">
        <f>SUMIFS('Accounting data'!$G$2:$G$37002,'Accounting data'!$H$2:$H$37002,"1000*",'Accounting data'!$I$2:$I$37002,"1*",'Accounting data'!$J$2:$J$37002,"24*",'Accounting data'!$K$2:$K$37002,"66*")+SUMIFS('Accounting data'!$G$2:$G$37002,'Accounting data'!$H$2:$H$37002,"1500*",'Accounting data'!$I$2:$I$37002,"1*",'Accounting data'!$J$2:$J$37002,"24*",'Accounting data'!$K$2:$K$37002,"66*")</f>
        <v>18577</v>
      </c>
      <c r="H12" s="551">
        <f>SUMIFS('Accounting data'!$G$2:$G$37002,'Accounting data'!$H$2:$H$37002,"1000*",'Accounting data'!$I$2:$I$37002,"1*",'Accounting data'!$J$2:$J$37002,"24*",'Accounting data'!$K$2:$K$37002,"68*")+SUMIFS('Accounting data'!$G$2:$G$37002,'Accounting data'!$H$2:$H$37002,"1500*",'Accounting data'!$I$2:$I$37002,"1*",'Accounting data'!$J$2:$J$37002,"24*",'Accounting data'!$K$2:$K$37002,"68*")</f>
        <v>16352</v>
      </c>
      <c r="I12" s="550">
        <f>[1]!SP1000P100F2400</f>
        <v>956700</v>
      </c>
      <c r="J12" s="552">
        <f t="shared" si="0"/>
        <v>1150074</v>
      </c>
      <c r="K12" s="550">
        <f>[2]!SP1000P100F2400</f>
        <v>1012693</v>
      </c>
      <c r="L12" s="553">
        <f t="shared" si="1"/>
        <v>0.13569999999999999</v>
      </c>
      <c r="M12" s="91" t="s">
        <v>33</v>
      </c>
    </row>
    <row r="13" spans="1:32" ht="12" customHeight="1" x14ac:dyDescent="0.2">
      <c r="A13" s="89" t="s">
        <v>107</v>
      </c>
      <c r="C13" s="90" t="s">
        <v>35</v>
      </c>
      <c r="D13" s="551">
        <f>SUMIFS('Accounting data'!$G$2:$G$37002,'Accounting data'!$H$2:$H$37002,"1000*",'Accounting data'!$I$2:$I$37002,"1*",'Accounting data'!$J$2:$J$37002,"25*",'Accounting data'!$K$2:$K$37002,"61*")+SUMIFS('Accounting data'!$G$2:$G$37002,'Accounting data'!$H$2:$H$37002,"1500*",'Accounting data'!$I$2:$I$37002,"1*",'Accounting data'!$J$2:$J$37002,"25*",'Accounting data'!$K$2:$K$37002,"61*")</f>
        <v>175534</v>
      </c>
      <c r="E13" s="551">
        <f>SUMIFS('Accounting data'!$G$2:$G$37002,'Accounting data'!$H$2:$H$37002,"1000*",'Accounting data'!$I$2:$I$37002,"1*",'Accounting data'!$J$2:$J$37002,"25*",'Accounting data'!$K$2:$K$37002,"62*")+SUMIFS('Accounting data'!$G$2:$G$37002,'Accounting data'!$H$2:$H$37002,"1500*",'Accounting data'!$I$2:$I$37002,"1*",'Accounting data'!$J$2:$J$37002,"25*",'Accounting data'!$K$2:$K$37002,"62*")</f>
        <v>40027</v>
      </c>
      <c r="F13" s="551">
        <f>SUMIFS('Accounting data'!$G$2:$G$37002,'Accounting data'!$H$2:$H$37002,"1000*",'Accounting data'!$I$2:$I$37002,"1*",'Accounting data'!$J$2:$J$37002,"25*",'Accounting data'!$K$2:$K$37002,"63*")+SUMIFS('Accounting data'!$G$2:$G$37002,'Accounting data'!$H$2:$H$37002,"1500*",'Accounting data'!$I$2:$I$37002,"1*",'Accounting data'!$J$2:$J$37002,"25*",'Accounting data'!$K$2:$K$37002,"63*")</f>
        <v>1245937</v>
      </c>
      <c r="G13" s="551">
        <f>SUMIFS('Accounting data'!$G$2:$G$37002,'Accounting data'!$H$2:$H$37002,"1000*",'Accounting data'!$I$2:$I$37002,"1*",'Accounting data'!$J$2:$J$37002,"25*",'Accounting data'!$K$2:$K$37002,"66*")+SUMIFS('Accounting data'!$G$2:$G$37002,'Accounting data'!$H$2:$H$37002,"1500*",'Accounting data'!$I$2:$I$37002,"1*",'Accounting data'!$J$2:$J$37002,"25*",'Accounting data'!$K$2:$K$37002,"66*")</f>
        <v>5457</v>
      </c>
      <c r="H13" s="551">
        <f>SUMIFS('Accounting data'!$G$2:$G$37002,'Accounting data'!$H$2:$H$37002,"1000*",'Accounting data'!$I$2:$I$37002,"1*",'Accounting data'!$J$2:$J$37002,"25*",'Accounting data'!$K$2:$K$37002,"68*")+SUMIFS('Accounting data'!$G$2:$G$37002,'Accounting data'!$H$2:$H$37002,"1500*",'Accounting data'!$I$2:$I$37002,"1*",'Accounting data'!$J$2:$J$37002,"25*",'Accounting data'!$K$2:$K$37002,"68*")</f>
        <v>69950</v>
      </c>
      <c r="I13" s="550">
        <f>[1]!SP1000P100F2500</f>
        <v>350000</v>
      </c>
      <c r="J13" s="552">
        <f t="shared" si="0"/>
        <v>1536905</v>
      </c>
      <c r="K13" s="550">
        <f>[2]!SP1000P100F2500</f>
        <v>1537180</v>
      </c>
      <c r="L13" s="553">
        <f t="shared" si="1"/>
        <v>-2.0000000000000001E-4</v>
      </c>
      <c r="M13" s="91" t="s">
        <v>35</v>
      </c>
    </row>
    <row r="14" spans="1:32" ht="12" customHeight="1" x14ac:dyDescent="0.2">
      <c r="A14" s="89" t="s">
        <v>108</v>
      </c>
      <c r="C14" s="90" t="s">
        <v>36</v>
      </c>
      <c r="D14" s="551">
        <f>SUMIFS('Accounting data'!$G$2:$G$37002,'Accounting data'!$H$2:$H$37002,"1000*",'Accounting data'!$I$2:$I$37002,"1*",'Accounting data'!$J$2:$J$37002,"26*",'Accounting data'!$K$2:$K$37002,"61*")+SUMIFS('Accounting data'!$G$2:$G$37002,'Accounting data'!$H$2:$H$37002,"1500*",'Accounting data'!$I$2:$I$37002,"1*",'Accounting data'!$J$2:$J$37002,"26*",'Accounting data'!$K$2:$K$37002,"61*")</f>
        <v>263473</v>
      </c>
      <c r="E14" s="551">
        <f>SUMIFS('Accounting data'!$G$2:$G$37002,'Accounting data'!$H$2:$H$37002,"1000*",'Accounting data'!$I$2:$I$37002,"1*",'Accounting data'!$J$2:$J$37002,"26*",'Accounting data'!$K$2:$K$37002,"62*")+SUMIFS('Accounting data'!$G$2:$G$37002,'Accounting data'!$H$2:$H$37002,"1500*",'Accounting data'!$I$2:$I$37002,"1*",'Accounting data'!$J$2:$J$37002,"26*",'Accounting data'!$K$2:$K$37002,"62*")</f>
        <v>68034</v>
      </c>
      <c r="F14" s="551">
        <f>SUMIFS('Accounting data'!$G$2:$G$37002,'Accounting data'!$H$2:$H$37002,"1000*",'Accounting data'!$I$2:$I$37002,"1*",'Accounting data'!$J$2:$J$37002,"26*",'Accounting data'!$K$2:$K$37002,"63*")+SUMIFS('Accounting data'!$G$2:$G$37002,'Accounting data'!$H$2:$H$37002,"1500*",'Accounting data'!$I$2:$I$37002,"1*",'Accounting data'!$J$2:$J$37002,"26*",'Accounting data'!$K$2:$K$37002,"63*")</f>
        <v>865705</v>
      </c>
      <c r="G14" s="551">
        <f>SUMIFS('Accounting data'!$G$2:$G$37002,'Accounting data'!$H$2:$H$37002,"1000*",'Accounting data'!$I$2:$I$37002,"1*",'Accounting data'!$J$2:$J$37002,"26*",'Accounting data'!$K$2:$K$37002,"66*")+SUMIFS('Accounting data'!$G$2:$G$37002,'Accounting data'!$H$2:$H$37002,"1500*",'Accounting data'!$I$2:$I$37002,"1*",'Accounting data'!$J$2:$J$37002,"26*",'Accounting data'!$K$2:$K$37002,"66*")</f>
        <v>427484</v>
      </c>
      <c r="H14" s="551">
        <f>SUMIFS('Accounting data'!$G$2:$G$37002,'Accounting data'!$H$2:$H$37002,"1000*",'Accounting data'!$I$2:$I$37002,"1*",'Accounting data'!$J$2:$J$37002,"26*",'Accounting data'!$K$2:$K$37002,"68*")+SUMIFS('Accounting data'!$G$2:$G$37002,'Accounting data'!$H$2:$H$37002,"1500*",'Accounting data'!$I$2:$I$37002,"1*",'Accounting data'!$J$2:$J$37002,"26*",'Accounting data'!$K$2:$K$37002,"68*")</f>
        <v>500766</v>
      </c>
      <c r="I14" s="550">
        <f>[1]!SP1000P100F2600</f>
        <v>1760000</v>
      </c>
      <c r="J14" s="552">
        <f t="shared" si="0"/>
        <v>2125462</v>
      </c>
      <c r="K14" s="550">
        <f>[2]!SP1000P100F2600</f>
        <v>1925768</v>
      </c>
      <c r="L14" s="553">
        <f t="shared" si="1"/>
        <v>0.1037</v>
      </c>
      <c r="M14" s="91" t="s">
        <v>36</v>
      </c>
    </row>
    <row r="15" spans="1:32" ht="12" customHeight="1" x14ac:dyDescent="0.2">
      <c r="A15" s="89" t="s">
        <v>109</v>
      </c>
      <c r="C15" s="90" t="s">
        <v>38</v>
      </c>
      <c r="D15" s="551">
        <f>SUMIFS('Accounting data'!$G$2:$G$37002,'Accounting data'!$H$2:$H$37002,"1000*",'Accounting data'!$I$2:$I$37002,"1*",'Accounting data'!$J$2:$J$37002,"29*",'Accounting data'!$K$2:$K$37002,"61*")+SUMIFS('Accounting data'!$G$2:$G$37002,'Accounting data'!$H$2:$H$37002,"1500*",'Accounting data'!$I$2:$I$37002,"1*",'Accounting data'!$J$2:$J$37002,"29*",'Accounting data'!$K$2:$K$37002,"61*")</f>
        <v>0</v>
      </c>
      <c r="E15" s="551">
        <f>SUMIFS('Accounting data'!$G$2:$G$37002,'Accounting data'!$H$2:$H$37002,"1000*",'Accounting data'!$I$2:$I$37002,"1*",'Accounting data'!$J$2:$J$37002,"29*",'Accounting data'!$K$2:$K$37002,"62*")+SUMIFS('Accounting data'!$G$2:$G$37002,'Accounting data'!$H$2:$H$37002,"1500*",'Accounting data'!$I$2:$I$37002,"1*",'Accounting data'!$J$2:$J$37002,"29*",'Accounting data'!$K$2:$K$37002,"62*")</f>
        <v>0</v>
      </c>
      <c r="F15" s="551">
        <f>SUMIFS('Accounting data'!$G$2:$G$37002,'Accounting data'!$H$2:$H$37002,"1000*",'Accounting data'!$I$2:$I$37002,"1*",'Accounting data'!$J$2:$J$37002,"29*",'Accounting data'!$K$2:$K$37002,"63*")+SUMIFS('Accounting data'!$G$2:$G$37002,'Accounting data'!$H$2:$H$37002,"1500*",'Accounting data'!$I$2:$I$37002,"1*",'Accounting data'!$J$2:$J$37002,"29*",'Accounting data'!$K$2:$K$37002,"63*")</f>
        <v>0</v>
      </c>
      <c r="G15" s="551">
        <f>SUMIFS('Accounting data'!$G$2:$G$37002,'Accounting data'!$H$2:$H$37002,"1000*",'Accounting data'!$I$2:$I$37002,"1*",'Accounting data'!$J$2:$J$37002,"29*",'Accounting data'!$K$2:$K$37002,"66*")+SUMIFS('Accounting data'!$G$2:$G$37002,'Accounting data'!$H$2:$H$37002,"1500*",'Accounting data'!$I$2:$I$37002,"1*",'Accounting data'!$J$2:$J$37002,"29*",'Accounting data'!$K$2:$K$37002,"66*")</f>
        <v>0</v>
      </c>
      <c r="H15" s="551">
        <f>SUMIFS('Accounting data'!$G$2:$G$37002,'Accounting data'!$H$2:$H$37002,"1000*",'Accounting data'!$I$2:$I$37002,"1*",'Accounting data'!$J$2:$J$37002,"29*",'Accounting data'!$K$2:$K$37002,"68*")+SUMIFS('Accounting data'!$G$2:$G$37002,'Accounting data'!$H$2:$H$37002,"1500*",'Accounting data'!$I$2:$I$37002,"1*",'Accounting data'!$J$2:$J$37002,"29*",'Accounting data'!$K$2:$K$37002,"68*")</f>
        <v>0</v>
      </c>
      <c r="I15" s="550">
        <f>[1]!SP1000P100F2900</f>
        <v>0</v>
      </c>
      <c r="J15" s="552">
        <f t="shared" si="0"/>
        <v>0</v>
      </c>
      <c r="K15" s="550">
        <f>[2]!SP1000P100F2900</f>
        <v>0</v>
      </c>
      <c r="L15" s="553">
        <f t="shared" si="1"/>
        <v>0</v>
      </c>
      <c r="M15" s="91" t="s">
        <v>38</v>
      </c>
    </row>
    <row r="16" spans="1:32" ht="12" customHeight="1" x14ac:dyDescent="0.2">
      <c r="A16" s="89" t="s">
        <v>110</v>
      </c>
      <c r="C16" s="90" t="s">
        <v>40</v>
      </c>
      <c r="D16" s="551">
        <f>SUMIFS('Accounting data'!$G$2:$G$37002,'Accounting data'!$H$2:$H$37002,"1000*",'Accounting data'!$I$2:$I$37002,"1*",'Accounting data'!$J$2:$J$37002,"3*",'Accounting data'!$K$2:$K$37002,"61*")+SUMIFS('Accounting data'!$G$2:$G$37002,'Accounting data'!$H$2:$H$37002,"1500*",'Accounting data'!$I$2:$I$37002,"1*",'Accounting data'!$J$2:$J$37002,"3*",'Accounting data'!$K$2:$K$37002,"61*")</f>
        <v>0</v>
      </c>
      <c r="E16" s="551">
        <f>SUMIFS('Accounting data'!$G$2:$G$37002,'Accounting data'!$H$2:$H$37002,"1000*",'Accounting data'!$I$2:$I$37002,"1*",'Accounting data'!$J$2:$J$37002,"3*",'Accounting data'!$K$2:$K$37002,"62*")+SUMIFS('Accounting data'!$G$2:$G$37002,'Accounting data'!$H$2:$H$37002,"1500*",'Accounting data'!$I$2:$I$37002,"1*",'Accounting data'!$J$2:$J$37002,"3*",'Accounting data'!$K$2:$K$37002,"62*")</f>
        <v>0</v>
      </c>
      <c r="F16" s="551">
        <f>SUMIFS('Accounting data'!$G$2:$G$37002,'Accounting data'!$H$2:$H$37002,"1000*",'Accounting data'!$I$2:$I$37002,"1*",'Accounting data'!$J$2:$J$37002,"3*",'Accounting data'!$K$2:$K$37002,"63*")+SUMIFS('Accounting data'!$G$2:$G$37002,'Accounting data'!$H$2:$H$37002,"1500*",'Accounting data'!$I$2:$I$37002,"1*",'Accounting data'!$J$2:$J$37002,"3*",'Accounting data'!$K$2:$K$37002,"63*")</f>
        <v>0</v>
      </c>
      <c r="G16" s="551">
        <f>SUMIFS('Accounting data'!$G$2:$G$37002,'Accounting data'!$H$2:$H$37002,"1000*",'Accounting data'!$I$2:$I$37002,"1*",'Accounting data'!$J$2:$J$37002,"3*",'Accounting data'!$K$2:$K$37002,"66*")+SUMIFS('Accounting data'!$G$2:$G$37002,'Accounting data'!$H$2:$H$37002,"1500*",'Accounting data'!$I$2:$I$37002,"1*",'Accounting data'!$J$2:$J$37002,"3*",'Accounting data'!$K$2:$K$37002,"66*")</f>
        <v>0</v>
      </c>
      <c r="H16" s="551">
        <f>SUMIFS('Accounting data'!$G$2:$G$37002,'Accounting data'!$H$2:$H$37002,"1000*",'Accounting data'!$I$2:$I$37002,"1*",'Accounting data'!$J$2:$J$37002,"3*",'Accounting data'!$K$2:$K$37002,"68*")+SUMIFS('Accounting data'!$G$2:$G$37002,'Accounting data'!$H$2:$H$37002,"1500*",'Accounting data'!$I$2:$I$37002,"1*",'Accounting data'!$J$2:$J$37002,"3*",'Accounting data'!$K$2:$K$37002,"68*")</f>
        <v>0</v>
      </c>
      <c r="I16" s="550">
        <f>[1]!SP1000P100F3000</f>
        <v>0</v>
      </c>
      <c r="J16" s="552">
        <f t="shared" si="0"/>
        <v>0</v>
      </c>
      <c r="K16" s="550">
        <f>[2]!SP1000P100F3000</f>
        <v>0</v>
      </c>
      <c r="L16" s="553">
        <f t="shared" si="1"/>
        <v>0</v>
      </c>
      <c r="M16" s="91" t="s">
        <v>40</v>
      </c>
    </row>
    <row r="17" spans="1:25" ht="12" customHeight="1" x14ac:dyDescent="0.2">
      <c r="A17" s="89" t="s">
        <v>111</v>
      </c>
      <c r="C17" s="90" t="s">
        <v>42</v>
      </c>
      <c r="D17" s="551">
        <f>SUMIFS('Accounting data'!$G$2:$G$37002,'Accounting data'!$H$2:$H$37002,"1000*",'Accounting data'!$I$2:$I$37002,"1*",'Accounting data'!$J$2:$J$37002,"4*",'Accounting data'!$K$2:$K$37002,"61*")+SUMIFS('Accounting data'!$G$2:$G$37002,'Accounting data'!$H$2:$H$37002,"1500*",'Accounting data'!$I$2:$I$37002,"1*",'Accounting data'!$J$2:$J$37002,"4*",'Accounting data'!$K$2:$K$37002,"61*")</f>
        <v>0</v>
      </c>
      <c r="E17" s="551">
        <f>SUMIFS('Accounting data'!$G$2:$G$37002,'Accounting data'!$H$2:$H$37002,"1000*",'Accounting data'!$I$2:$I$37002,"1*",'Accounting data'!$J$2:$J$37002,"4*",'Accounting data'!$K$2:$K$37002,"62*")+SUMIFS('Accounting data'!$G$2:$G$37002,'Accounting data'!$H$2:$H$37002,"1500*",'Accounting data'!$I$2:$I$37002,"1*",'Accounting data'!$J$2:$J$37002,"4*",'Accounting data'!$K$2:$K$37002,"62*")</f>
        <v>0</v>
      </c>
      <c r="F17" s="551">
        <f>SUMIFS('Accounting data'!$G$2:$G$37002,'Accounting data'!$H$2:$H$37002,"1000*",'Accounting data'!$I$2:$I$37002,"1*",'Accounting data'!$J$2:$J$37002,"4*",'Accounting data'!$K$2:$K$37002,"63*")+SUMIFS('Accounting data'!$G$2:$G$37002,'Accounting data'!$H$2:$H$37002,"1500*",'Accounting data'!$I$2:$I$37002,"1*",'Accounting data'!$J$2:$J$37002,"4*",'Accounting data'!$K$2:$K$37002,"63*")</f>
        <v>0</v>
      </c>
      <c r="G17" s="551">
        <f>SUMIFS('Accounting data'!$G$2:$G$37002,'Accounting data'!$H$2:$H$37002,"1000*",'Accounting data'!$I$2:$I$37002,"1*",'Accounting data'!$J$2:$J$37002,"4*",'Accounting data'!$K$2:$K$37002,"66*")+SUMIFS('Accounting data'!$G$2:$G$37002,'Accounting data'!$H$2:$H$37002,"1500*",'Accounting data'!$I$2:$I$37002,"1*",'Accounting data'!$J$2:$J$37002,"4*",'Accounting data'!$K$2:$K$37002,"66*")</f>
        <v>0</v>
      </c>
      <c r="H17" s="551">
        <f>SUMIFS('Accounting data'!$G$2:$G$37002,'Accounting data'!$H$2:$H$37002,"1000*",'Accounting data'!$I$2:$I$37002,"1*",'Accounting data'!$J$2:$J$37002,"4*",'Accounting data'!$K$2:$K$37002,"68*")+SUMIFS('Accounting data'!$G$2:$G$37002,'Accounting data'!$H$2:$H$37002,"1500*",'Accounting data'!$I$2:$I$37002,"1*",'Accounting data'!$J$2:$J$37002,"4*",'Accounting data'!$K$2:$K$37002,"68*")</f>
        <v>0</v>
      </c>
      <c r="I17" s="550">
        <f>[1]!SP1000P100F4000</f>
        <v>0</v>
      </c>
      <c r="J17" s="552">
        <f t="shared" si="0"/>
        <v>0</v>
      </c>
      <c r="K17" s="550">
        <f>[2]!SP1000P100F4000</f>
        <v>0</v>
      </c>
      <c r="L17" s="553">
        <f t="shared" si="1"/>
        <v>0</v>
      </c>
      <c r="M17" s="91" t="s">
        <v>42</v>
      </c>
    </row>
    <row r="18" spans="1:25" ht="12" customHeight="1" x14ac:dyDescent="0.2">
      <c r="A18" s="89" t="s">
        <v>112</v>
      </c>
      <c r="C18" s="90" t="s">
        <v>44</v>
      </c>
      <c r="D18" s="551">
        <f>SUMIFS('Accounting data'!$G$2:$G$37002,'Accounting data'!$H$2:$H$37002,"1000*",'Accounting data'!$I$2:$I$37002,"1*",'Accounting data'!$J$2:$J$37002,"5*",'Accounting data'!$K$2:$K$37002,"61*")+SUMIFS('Accounting data'!$G$2:$G$37002,'Accounting data'!$H$2:$H$37002,"1500*",'Accounting data'!$I$2:$I$37002,"1*",'Accounting data'!$J$2:$J$37002,"5*",'Accounting data'!$K$2:$K$37002,"61*")</f>
        <v>0</v>
      </c>
      <c r="E18" s="551">
        <f>SUMIFS('Accounting data'!$G$2:$G$37002,'Accounting data'!$H$2:$H$37002,"1000*",'Accounting data'!$I$2:$I$37002,"1*",'Accounting data'!$J$2:$J$37002,"5*",'Accounting data'!$K$2:$K$37002,"62*")+SUMIFS('Accounting data'!$G$2:$G$37002,'Accounting data'!$H$2:$H$37002,"1500*",'Accounting data'!$I$2:$I$37002,"1*",'Accounting data'!$J$2:$J$37002,"5*",'Accounting data'!$K$2:$K$37002,"62*")</f>
        <v>0</v>
      </c>
      <c r="F18" s="551">
        <f>SUMIFS('Accounting data'!$G$2:$G$37002,'Accounting data'!$H$2:$H$37002,"1000*",'Accounting data'!$I$2:$I$37002,"1*",'Accounting data'!$J$2:$J$37002,"5*",'Accounting data'!$K$2:$K$37002,"63*")+SUMIFS('Accounting data'!$G$2:$G$37002,'Accounting data'!$H$2:$H$37002,"1500*",'Accounting data'!$I$2:$I$37002,"1*",'Accounting data'!$J$2:$J$37002,"5*",'Accounting data'!$K$2:$K$37002,"63*")</f>
        <v>0</v>
      </c>
      <c r="G18" s="551">
        <f>SUMIFS('Accounting data'!$G$2:$G$37002,'Accounting data'!$H$2:$H$37002,"1000*",'Accounting data'!$I$2:$I$37002,"1*",'Accounting data'!$J$2:$J$37002,"5*",'Accounting data'!$K$2:$K$37002,"66*")+SUMIFS('Accounting data'!$G$2:$G$37002,'Accounting data'!$H$2:$H$37002,"1500*",'Accounting data'!$I$2:$I$37002,"1*",'Accounting data'!$J$2:$J$37002,"5*",'Accounting data'!$K$2:$K$37002,"66*")</f>
        <v>0</v>
      </c>
      <c r="H18" s="551">
        <f>SUMIFS('Accounting data'!$G$2:$G$37002,'Accounting data'!$H$2:$H$37002,"1000*",'Accounting data'!$I$2:$I$37002,"1*",'Accounting data'!$J$2:$J$37002,"5*",'Accounting data'!$K$2:$K$37002,"68*")+SUMIFS('Accounting data'!$G$2:$G$37002,'Accounting data'!$H$2:$H$37002,"1500*",'Accounting data'!$I$2:$I$37002,"1*",'Accounting data'!$J$2:$J$37002,"5*",'Accounting data'!$K$2:$K$37002,"68*")</f>
        <v>4791569</v>
      </c>
      <c r="I18" s="550">
        <f>[1]!SP1000P100F5000</f>
        <v>5200000</v>
      </c>
      <c r="J18" s="552">
        <f t="shared" si="0"/>
        <v>4791569</v>
      </c>
      <c r="K18" s="550">
        <f>[2]!SP1000P100F5000</f>
        <v>4396508</v>
      </c>
      <c r="L18" s="553">
        <f t="shared" si="1"/>
        <v>8.9899999999999994E-2</v>
      </c>
      <c r="M18" s="91" t="s">
        <v>44</v>
      </c>
    </row>
    <row r="19" spans="1:25" ht="12" customHeight="1" x14ac:dyDescent="0.2">
      <c r="A19" s="89" t="s">
        <v>113</v>
      </c>
      <c r="C19" s="90" t="s">
        <v>45</v>
      </c>
      <c r="D19" s="551">
        <f>SUMIFS('Accounting data'!$G$2:$G$37002,'Accounting data'!$H$2:$H$37002,"1000*",'Accounting data'!$I$2:$I$37002,"61*",'Accounting data'!$K$2:$K$37002,"61*")+SUMIFS('Accounting data'!$G$2:$G$37002,'Accounting data'!$H$2:$H$37002,"1500*",'Accounting data'!$I$2:$I$37002,"61*",'Accounting data'!$K$2:$K$37002,"61*")</f>
        <v>156524</v>
      </c>
      <c r="E19" s="551">
        <f>SUMIFS('Accounting data'!$G$2:$G$37002,'Accounting data'!$H$2:$H$37002,"1000*",'Accounting data'!$I$2:$I$37002,"61*",'Accounting data'!$K$2:$K$37002,"62*")+SUMIFS('Accounting data'!$G$2:$G$37002,'Accounting data'!$H$2:$H$37002,"1500*",'Accounting data'!$I$2:$I$37002,"61*",'Accounting data'!$K$2:$K$37002,"62*")</f>
        <v>32565</v>
      </c>
      <c r="F19" s="551">
        <f>SUMIFS('Accounting data'!$G$2:$G$37002,'Accounting data'!$H$2:$H$37002,"1000*",'Accounting data'!$I$2:$I$37002,"61*",'Accounting data'!$K$2:$K$37002,"63*")+SUMIFS('Accounting data'!$G$2:$G$37002,'Accounting data'!$H$2:$H$37002,"1500*",'Accounting data'!$I$2:$I$37002,"61*",'Accounting data'!$K$2:$K$37002,"63*")</f>
        <v>0</v>
      </c>
      <c r="G19" s="551">
        <f>SUMIFS('Accounting data'!$G$2:$G$37002,'Accounting data'!$H$2:$H$37002,"1000*",'Accounting data'!$I$2:$I$37002,"61*",'Accounting data'!$K$2:$K$37002,"66*")+SUMIFS('Accounting data'!$G$2:$G$37002,'Accounting data'!$H$2:$H$37002,"1500*",'Accounting data'!$I$2:$I$37002,"61*",'Accounting data'!$K$2:$K$37002,"66*")</f>
        <v>0</v>
      </c>
      <c r="H19" s="551">
        <f>SUMIFS('Accounting data'!$G$2:$G$37002,'Accounting data'!$H$2:$H$37002,"1000*",'Accounting data'!$I$2:$I$37002,"61*",'Accounting data'!$K$2:$K$37002,"68*")+SUMIFS('Accounting data'!$G$2:$G$37002,'Accounting data'!$H$2:$H$37002,"1500*",'Accounting data'!$I$2:$I$37002,"61*",'Accounting data'!$K$2:$K$37002,"68*")</f>
        <v>326113</v>
      </c>
      <c r="I19" s="550">
        <f>[1]!SP1000P610</f>
        <v>0</v>
      </c>
      <c r="J19" s="552">
        <f t="shared" si="0"/>
        <v>515202</v>
      </c>
      <c r="K19" s="550">
        <f>[2]!SP1000P610</f>
        <v>565500</v>
      </c>
      <c r="L19" s="553">
        <f t="shared" si="1"/>
        <v>-8.8900000000000007E-2</v>
      </c>
      <c r="M19" s="91" t="s">
        <v>45</v>
      </c>
    </row>
    <row r="20" spans="1:25" ht="12" customHeight="1" x14ac:dyDescent="0.2">
      <c r="A20" s="89" t="s">
        <v>114</v>
      </c>
      <c r="C20" s="90" t="s">
        <v>47</v>
      </c>
      <c r="D20" s="551">
        <f>SUMIFS('Accounting data'!$G$2:$G$37002,'Accounting data'!$H$2:$H$37002,"1000*",'Accounting data'!$I$2:$I$37002,"62*",'Accounting data'!$K$2:$K$37002,"61*")+SUMIFS('Accounting data'!$G$2:$G$37002,'Accounting data'!$H$2:$H$37002,"1500*",'Accounting data'!$I$2:$I$37002,"62*",'Accounting data'!$K$2:$K$37002,"61*")</f>
        <v>0</v>
      </c>
      <c r="E20" s="551">
        <f>SUMIFS('Accounting data'!$G$2:$G$37002,'Accounting data'!$H$2:$H$37002,"1000*",'Accounting data'!$I$2:$I$37002,"62*",'Accounting data'!$K$2:$K$37002,"62*")+SUMIFS('Accounting data'!$G$2:$G$37002,'Accounting data'!$H$2:$H$37002,"1500*",'Accounting data'!$I$2:$I$37002,"62*",'Accounting data'!$K$2:$K$37002,"62*")</f>
        <v>0</v>
      </c>
      <c r="F20" s="551">
        <f>SUMIFS('Accounting data'!$G$2:$G$37002,'Accounting data'!$H$2:$H$37002,"1000*",'Accounting data'!$I$2:$I$37002,"62*",'Accounting data'!$K$2:$K$37002,"63*")+SUMIFS('Accounting data'!$G$2:$G$37002,'Accounting data'!$H$2:$H$37002,"1500*",'Accounting data'!$I$2:$I$37002,"62*",'Accounting data'!$K$2:$K$37002,"63*")</f>
        <v>0</v>
      </c>
      <c r="G20" s="551">
        <f>SUMIFS('Accounting data'!$G$2:$G$37002,'Accounting data'!$H$2:$H$37002,"1000*",'Accounting data'!$I$2:$I$37002,"62*",'Accounting data'!$K$2:$K$37002,"66*")+SUMIFS('Accounting data'!$G$2:$G$37002,'Accounting data'!$H$2:$H$37002,"1500*",'Accounting data'!$I$2:$I$37002,"62*",'Accounting data'!$K$2:$K$37002,"66*")</f>
        <v>0</v>
      </c>
      <c r="H20" s="551">
        <f>SUMIFS('Accounting data'!$G$2:$G$37002,'Accounting data'!$H$2:$H$37002,"1000*",'Accounting data'!$I$2:$I$37002,"62*",'Accounting data'!$K$2:$K$37002,"68*")+SUMIFS('Accounting data'!$G$2:$G$37002,'Accounting data'!$H$2:$H$37002,"1500*",'Accounting data'!$I$2:$I$37002,"62*",'Accounting data'!$K$2:$K$37002,"68*")</f>
        <v>0</v>
      </c>
      <c r="I20" s="550">
        <f>[1]!SP1000P620</f>
        <v>0</v>
      </c>
      <c r="J20" s="552">
        <f t="shared" si="0"/>
        <v>0</v>
      </c>
      <c r="K20" s="550">
        <f>[2]!SP1000P620</f>
        <v>0</v>
      </c>
      <c r="L20" s="553">
        <f t="shared" si="1"/>
        <v>0</v>
      </c>
      <c r="M20" s="91" t="s">
        <v>47</v>
      </c>
    </row>
    <row r="21" spans="1:25" ht="12" customHeight="1" x14ac:dyDescent="0.2">
      <c r="A21" s="89" t="s">
        <v>115</v>
      </c>
      <c r="C21" s="90" t="s">
        <v>49</v>
      </c>
      <c r="D21" s="551">
        <f>SUMIFS('Accounting data'!$G$2:$G$37002,'Accounting data'!$H$2:$H$37002,"1000*",'Accounting data'!$I$2:$I$37002,"63*",'Accounting data'!$K$2:$K$37002,"61*")+SUMIFS('Accounting data'!$G$2:$G$37002,'Accounting data'!$H$2:$H$37002,"1500*",'Accounting data'!$I$2:$I$37002,"63*",'Accounting data'!$K$2:$K$37002,"61*")</f>
        <v>0</v>
      </c>
      <c r="E21" s="551">
        <f>SUMIFS('Accounting data'!$G$2:$G$37002,'Accounting data'!$H$2:$H$37002,"1000*",'Accounting data'!$I$2:$I$37002,"63*",'Accounting data'!$K$2:$K$37002,"62*")+SUMIFS('Accounting data'!$G$2:$G$37002,'Accounting data'!$H$2:$H$37002,"1500*",'Accounting data'!$I$2:$I$37002,"63*",'Accounting data'!$K$2:$K$37002,"62*")</f>
        <v>0</v>
      </c>
      <c r="F21" s="551">
        <f>SUMIFS('Accounting data'!$G$2:$G$37002,'Accounting data'!$H$2:$H$37002,"1000*",'Accounting data'!$I$2:$I$37002,"63*",'Accounting data'!$K$2:$K$37002,"63*")+SUMIFS('Accounting data'!$G$2:$G$37002,'Accounting data'!$H$2:$H$37002,"1500*",'Accounting data'!$I$2:$I$37002,"63*",'Accounting data'!$K$2:$K$37002,"63*")</f>
        <v>0</v>
      </c>
      <c r="G21" s="551">
        <f>SUMIFS('Accounting data'!$G$2:$G$37002,'Accounting data'!$H$2:$H$37002,"1000*",'Accounting data'!$I$2:$I$37002,"63*",'Accounting data'!$K$2:$K$37002,"66*")+SUMIFS('Accounting data'!$G$2:$G$37002,'Accounting data'!$H$2:$H$37002,"1500*",'Accounting data'!$I$2:$I$37002,"63*",'Accounting data'!$K$2:$K$37002,"66*")</f>
        <v>0</v>
      </c>
      <c r="H21" s="599">
        <f>SUMIFS('Accounting data'!$G$2:$G$37002,'Accounting data'!$H$2:$H$37002,"1000*",'Accounting data'!$I$2:$I$37002,"63*",'Accounting data'!$K$2:$K$37002,"68*")+SUMIFS('Accounting data'!$G$2:$G$37002,'Accounting data'!$H$2:$H$37002,"1500*",'Accounting data'!$I$2:$I$37002,"63*",'Accounting data'!$K$2:$K$37002,"68*")</f>
        <v>0</v>
      </c>
      <c r="I21" s="820">
        <f>[1]!SP1000P630700800900</f>
        <v>0</v>
      </c>
      <c r="J21" s="600">
        <f t="shared" si="0"/>
        <v>0</v>
      </c>
      <c r="K21" s="550">
        <f>'[2]Page 2'!$J$21</f>
        <v>0</v>
      </c>
      <c r="L21" s="813">
        <f>IF(J21+J22=K22,0,IF(K22&gt;0,(J21+J22-K22)/K22,"--"))</f>
        <v>0</v>
      </c>
      <c r="M21" s="66" t="s">
        <v>49</v>
      </c>
    </row>
    <row r="22" spans="1:25" ht="12" customHeight="1" x14ac:dyDescent="0.2">
      <c r="A22" s="89" t="s">
        <v>116</v>
      </c>
      <c r="C22" s="90" t="s">
        <v>51</v>
      </c>
      <c r="D22" s="551">
        <f>SUMIFS('Accounting data'!$G$2:$G$37002,'Accounting data'!$H$2:$H$37002,"1000*",'Accounting data'!$I$2:$I$37002,"7*",'Accounting data'!$K$2:$K$37002,"61*")+SUMIFS('Accounting data'!$G$2:$G$37002,'Accounting data'!$H$2:$H$37002,"1000*",'Accounting data'!$I$2:$I$37002,"8*",'Accounting data'!$K$2:$K$37002,"61*")+SUMIFS('Accounting data'!$G$2:$G$37002,'Accounting data'!$H$2:$H$37002,"1000*",'Accounting data'!$I$2:$I$37002,"9*",'Accounting data'!$K$2:$K$37002,"61*")+SUMIFS('Accounting data'!$G$2:$G$37002,'Accounting data'!$H$2:$H$37002,"1500*",'Accounting data'!$I$2:$I$37002,"7*",'Accounting data'!$K$2:$K$37002,"61*")+SUMIFS('Accounting data'!$G$2:$G$37002,'Accounting data'!$H$2:$H$37002,"1500*",'Accounting data'!$I$2:$I$37002,"8*",'Accounting data'!$K$2:$K$37002,"61*")+SUMIFS('Accounting data'!$G$2:$G$37002,'Accounting data'!$H$2:$H$37002,"1500*",'Accounting data'!$I$2:$I$37002,"9*",'Accounting data'!$K$2:$K$37002,"61*")</f>
        <v>0</v>
      </c>
      <c r="E22" s="551">
        <f>SUMIFS('Accounting data'!$G$2:$G$37002,'Accounting data'!$H$2:$H$37002,"1000*",'Accounting data'!$I$2:$I$37002,"7*",'Accounting data'!$K$2:$K$37002,"62*")+SUMIFS('Accounting data'!$G$2:$G$37002,'Accounting data'!$H$2:$H$37002,"1000*",'Accounting data'!$I$2:$I$37002,"8*",'Accounting data'!$K$2:$K$37002,"62*")+SUMIFS('Accounting data'!$G$2:$G$37002,'Accounting data'!$H$2:$H$37002,"1000*",'Accounting data'!$I$2:$I$37002,"9*",'Accounting data'!$K$2:$K$37002,"62*")+SUMIFS('Accounting data'!$G$2:$G$37002,'Accounting data'!$H$2:$H$37002,"1500*",'Accounting data'!$I$2:$I$37002,"7*",'Accounting data'!$K$2:$K$37002,"62*")+SUMIFS('Accounting data'!$G$2:$G$37002,'Accounting data'!$H$2:$H$37002,"1500*",'Accounting data'!$I$2:$I$37002,"8*",'Accounting data'!$K$2:$K$37002,"62*")+SUMIFS('Accounting data'!$G$2:$G$37002,'Accounting data'!$H$2:$H$37002,"1500*",'Accounting data'!$I$2:$I$37002,"9*",'Accounting data'!$K$2:$K$37002,"62*")</f>
        <v>0</v>
      </c>
      <c r="F22" s="551">
        <f>SUMIFS('Accounting data'!$G$2:$G$37002,'Accounting data'!$H$2:$H$37002,"1000*",'Accounting data'!$I$2:$I$37002,"7*",'Accounting data'!$K$2:$K$37002,"63*")+SUMIFS('Accounting data'!$G$2:$G$37002,'Accounting data'!$H$2:$H$37002,"1000*",'Accounting data'!$I$2:$I$37002,"8*",'Accounting data'!$K$2:$K$37002,"63*")+SUMIFS('Accounting data'!$G$2:$G$37002,'Accounting data'!$H$2:$H$37002,"1000*",'Accounting data'!$I$2:$I$37002,"9*",'Accounting data'!$K$2:$K$37002,"63*")+SUMIFS('Accounting data'!$G$2:$G$37002,'Accounting data'!$H$2:$H$37002,"1500*",'Accounting data'!$I$2:$I$37002,"7*",'Accounting data'!$K$2:$K$37002,"63*")+SUMIFS('Accounting data'!$G$2:$G$37002,'Accounting data'!$H$2:$H$37002,"1500*",'Accounting data'!$I$2:$I$37002,"8*",'Accounting data'!$K$2:$K$37002,"63*")+SUMIFS('Accounting data'!$G$2:$G$37002,'Accounting data'!$H$2:$H$37002,"1500*",'Accounting data'!$I$2:$I$37002,"9*",'Accounting data'!$K$2:$K$37002,"63*")</f>
        <v>0</v>
      </c>
      <c r="G22" s="551">
        <f>SUMIFS('Accounting data'!$G$2:$G$37002,'Accounting data'!$H$2:$H$37002,"1000*",'Accounting data'!$I$2:$I$37002,"7*",'Accounting data'!$K$2:$K$37002,"66*")+SUMIFS('Accounting data'!$G$2:$G$37002,'Accounting data'!$H$2:$H$37002,"1000*",'Accounting data'!$I$2:$I$37002,"8*",'Accounting data'!$K$2:$K$37002,"66*")+SUMIFS('Accounting data'!$G$2:$G$37002,'Accounting data'!$H$2:$H$37002,"1000*",'Accounting data'!$I$2:$I$37002,"9*",'Accounting data'!$K$2:$K$37002,"66*")+SUMIFS('Accounting data'!$G$2:$G$37002,'Accounting data'!$H$2:$H$37002,"1500*",'Accounting data'!$I$2:$I$37002,"7*",'Accounting data'!$K$2:$K$37002,"66*")+SUMIFS('Accounting data'!$G$2:$G$37002,'Accounting data'!$H$2:$H$37002,"1500*",'Accounting data'!$I$2:$I$37002,"8*",'Accounting data'!$K$2:$K$37002,"66*")+SUMIFS('Accounting data'!$G$2:$G$37002,'Accounting data'!$H$2:$H$37002,"1500*",'Accounting data'!$I$2:$I$37002,"9*",'Accounting data'!$K$2:$K$37002,"66*")</f>
        <v>0</v>
      </c>
      <c r="H22" s="551">
        <f>SUMIFS('Accounting data'!$G$2:$G$37002,'Accounting data'!$H$2:$H$37002,"1000*",'Accounting data'!$I$2:$I$37002,"7*",'Accounting data'!$K$2:$K$37002,"68*")+SUMIFS('Accounting data'!$G$2:$G$37002,'Accounting data'!$H$2:$H$37002,"1000*",'Accounting data'!$I$2:$I$37002,"8*",'Accounting data'!$K$2:$K$37002,"68*")+SUMIFS('Accounting data'!$G$2:$G$37002,'Accounting data'!$H$2:$H$37002,"1000*",'Accounting data'!$I$2:$I$37002,"9*",'Accounting data'!$K$2:$K$37002,"68*")+SUMIFS('Accounting data'!$G$2:$G$37002,'Accounting data'!$H$2:$H$37002,"1500*",'Accounting data'!$I$2:$I$37002,"7*",'Accounting data'!$K$2:$K$37002,"68*")+SUMIFS('Accounting data'!$G$2:$G$37002,'Accounting data'!$H$2:$H$37002,"1500*",'Accounting data'!$I$2:$I$37002,"8*",'Accounting data'!$K$2:$K$37002,"68*")+SUMIFS('Accounting data'!$G$2:$G$37002,'Accounting data'!$H$2:$H$37002,"1500*",'Accounting data'!$I$2:$I$37002,"9*",'Accounting data'!$K$2:$K$37002,"68*")</f>
        <v>0</v>
      </c>
      <c r="I22" s="821"/>
      <c r="J22" s="552">
        <f t="shared" si="0"/>
        <v>0</v>
      </c>
      <c r="K22" s="550">
        <f>[2]!SP1000P630700800900</f>
        <v>0</v>
      </c>
      <c r="L22" s="815"/>
      <c r="M22" s="66" t="s">
        <v>51</v>
      </c>
    </row>
    <row r="23" spans="1:25" ht="12" customHeight="1" x14ac:dyDescent="0.2">
      <c r="A23" s="93" t="s">
        <v>117</v>
      </c>
      <c r="B23" s="6"/>
      <c r="C23" s="94" t="s">
        <v>53</v>
      </c>
      <c r="D23" s="551">
        <f t="shared" ref="D23:H23" si="2">SUM(D6:D22)</f>
        <v>12895126</v>
      </c>
      <c r="E23" s="551">
        <f t="shared" si="2"/>
        <v>3506687</v>
      </c>
      <c r="F23" s="551">
        <f t="shared" si="2"/>
        <v>2338138</v>
      </c>
      <c r="G23" s="551">
        <f t="shared" si="2"/>
        <v>1131136</v>
      </c>
      <c r="H23" s="551">
        <f t="shared" si="2"/>
        <v>5705786</v>
      </c>
      <c r="I23" s="552">
        <f>SUM(I7:I22)</f>
        <v>23347700</v>
      </c>
      <c r="J23" s="552">
        <f>SUM(J7:J22)</f>
        <v>25576873</v>
      </c>
      <c r="K23" s="552">
        <f>SUM(K7:K22)</f>
        <v>23694344</v>
      </c>
      <c r="L23" s="553">
        <f>IF(J23=K23,0,IF(K23&gt;0,(J23-K23)/K23,"--"))</f>
        <v>7.9500000000000001E-2</v>
      </c>
      <c r="M23" s="66" t="s">
        <v>53</v>
      </c>
    </row>
    <row r="24" spans="1:25" ht="12" customHeight="1" x14ac:dyDescent="0.2">
      <c r="A24" s="95" t="s">
        <v>118</v>
      </c>
      <c r="C24" s="78"/>
      <c r="D24" s="88"/>
      <c r="E24" s="88"/>
      <c r="F24" s="88"/>
      <c r="G24" s="88"/>
      <c r="H24" s="88"/>
      <c r="I24" s="88"/>
      <c r="J24" s="88"/>
      <c r="K24" s="88"/>
      <c r="L24" s="813">
        <f>IF(J25=K25,0,IF(K25&gt;0,(J25-K25)/K25,"--"))</f>
        <v>0.20330000000000001</v>
      </c>
      <c r="M24" s="567"/>
    </row>
    <row r="25" spans="1:25" ht="12" customHeight="1" x14ac:dyDescent="0.2">
      <c r="A25" s="89" t="s">
        <v>119</v>
      </c>
      <c r="C25" s="90" t="s">
        <v>55</v>
      </c>
      <c r="D25" s="555">
        <f>SUMIFS('Accounting data'!$G$2:$G$37002,'Accounting data'!$H$2:$H$37002,"1000*",'Accounting data'!$I$2:$I$37002,"200*",'Accounting data'!$J$2:$J$37002,"1*",'Accounting data'!$K$2:$K$37002,"61*")+SUMIFS('Accounting data'!$G$2:$G$37002,'Accounting data'!$H$2:$H$37002,"1500*",'Accounting data'!$I$2:$I$37002,"200*",'Accounting data'!$J$2:$J$37002,"1*",'Accounting data'!$K$2:$K$37002,"61*")+SUMIFS('Accounting data'!$G$2:$G$37002,'Accounting data'!$H$2:$H$37002,"1000*",'Accounting data'!$I$2:$I$37002,"270*",'Accounting data'!$J$2:$J$37002,"1*",'Accounting data'!$K$2:$K$37002,"61*")+SUMIFS('Accounting data'!$G$2:$G$37002,'Accounting data'!$H$2:$H$37002,"1500*",'Accounting data'!$I$2:$I$37002,"270*",'Accounting data'!$J$2:$J$37002,"1*",'Accounting data'!$K$2:$K$37002,"61*")</f>
        <v>2013872</v>
      </c>
      <c r="E25" s="555">
        <f>SUMIFS('Accounting data'!$G$2:$G$37002,'Accounting data'!$H$2:$H$37002,"1000*",'Accounting data'!$I$2:$I$37002,"200*",'Accounting data'!$J$2:$J$37002,"1*",'Accounting data'!$K$2:$K$37002,"62*")+SUMIFS('Accounting data'!$G$2:$G$37002,'Accounting data'!$H$2:$H$37002,"1500*",'Accounting data'!$I$2:$I$37002,"200*",'Accounting data'!$J$2:$J$37002,"1*",'Accounting data'!$K$2:$K$37002,"62*")+SUMIFS('Accounting data'!$G$2:$G$37002,'Accounting data'!$H$2:$H$37002,"1000*",'Accounting data'!$I$2:$I$37002,"270*",'Accounting data'!$J$2:$J$37002,"1*",'Accounting data'!$K$2:$K$37002,"62*")+SUMIFS('Accounting data'!$G$2:$G$37002,'Accounting data'!$H$2:$H$37002,"1500*",'Accounting data'!$I$2:$I$37002,"270*",'Accounting data'!$J$2:$J$37002,"1*",'Accounting data'!$K$2:$K$37002,"62*")</f>
        <v>471712</v>
      </c>
      <c r="F25" s="555">
        <f>SUMIFS('Accounting data'!$G$2:$G$37002,'Accounting data'!$H$2:$H$37002,"1000*",'Accounting data'!$I$2:$I$37002,"200*",'Accounting data'!$J$2:$J$37002,"1*",'Accounting data'!$K$2:$K$37002,"63*")+SUMIFS('Accounting data'!$G$2:$G$37002,'Accounting data'!$H$2:$H$37002,"1500*",'Accounting data'!$I$2:$I$37002,"200*",'Accounting data'!$J$2:$J$37002,"1*",'Accounting data'!$K$2:$K$37002,"63*")+SUMIFS('Accounting data'!$G$2:$G$37002,'Accounting data'!$H$2:$H$37002,"1000*",'Accounting data'!$I$2:$I$37002,"270*",'Accounting data'!$J$2:$J$37002,"1*",'Accounting data'!$K$2:$K$37002,"63*")+SUMIFS('Accounting data'!$G$2:$G$37002,'Accounting data'!$H$2:$H$37002,"1500*",'Accounting data'!$I$2:$I$37002,"270*",'Accounting data'!$J$2:$J$37002,"1*",'Accounting data'!$K$2:$K$37002,"63*")</f>
        <v>84545</v>
      </c>
      <c r="G25" s="555">
        <f>SUMIFS('Accounting data'!$G$2:$G$37002,'Accounting data'!$H$2:$H$37002,"1000*",'Accounting data'!$I$2:$I$37002,"200*",'Accounting data'!$J$2:$J$37002,"1*",'Accounting data'!$K$2:$K$37002,"66*")+SUMIFS('Accounting data'!$G$2:$G$37002,'Accounting data'!$H$2:$H$37002,"1500*",'Accounting data'!$I$2:$I$37002,"200*",'Accounting data'!$J$2:$J$37002,"1*",'Accounting data'!$K$2:$K$37002,"66*")+SUMIFS('Accounting data'!$G$2:$G$37002,'Accounting data'!$H$2:$H$37002,"1000*",'Accounting data'!$I$2:$I$37002,"270*",'Accounting data'!$J$2:$J$37002,"1*",'Accounting data'!$K$2:$K$37002,"66*")+SUMIFS('Accounting data'!$G$2:$G$37002,'Accounting data'!$H$2:$H$37002,"1500*",'Accounting data'!$I$2:$I$37002,"270*",'Accounting data'!$J$2:$J$37002,"1*",'Accounting data'!$K$2:$K$37002,"66*")</f>
        <v>20006</v>
      </c>
      <c r="H25" s="555">
        <f>SUMIFS('Accounting data'!$G$2:$G$37002,'Accounting data'!$H$2:$H$37002,"1000*",'Accounting data'!$I$2:$I$37002,"200*",'Accounting data'!$J$2:$J$37002,"1*",'Accounting data'!$K$2:$K$37002,"68*")+SUMIFS('Accounting data'!$G$2:$G$37002,'Accounting data'!$H$2:$H$37002,"1500*",'Accounting data'!$I$2:$I$37002,"200*",'Accounting data'!$J$2:$J$37002,"1*",'Accounting data'!$K$2:$K$37002,"68*")+SUMIFS('Accounting data'!$G$2:$G$37002,'Accounting data'!$H$2:$H$37002,"1000*",'Accounting data'!$I$2:$I$37002,"270*",'Accounting data'!$J$2:$J$37002,"1*",'Accounting data'!$K$2:$K$37002,"68*")+SUMIFS('Accounting data'!$G$2:$G$37002,'Accounting data'!$H$2:$H$37002,"1500*",'Accounting data'!$I$2:$I$37002,"270*",'Accounting data'!$J$2:$J$37002,"1*",'Accounting data'!$K$2:$K$37002,"68*")</f>
        <v>0</v>
      </c>
      <c r="I25" s="555">
        <f>[1]!SP1000P200F1000</f>
        <v>2113000</v>
      </c>
      <c r="J25" s="555">
        <f>SUM(D25:H25)</f>
        <v>2590135</v>
      </c>
      <c r="K25" s="555">
        <f>[2]!SP1000P200F1000</f>
        <v>2152541</v>
      </c>
      <c r="L25" s="814"/>
      <c r="M25" s="66" t="s">
        <v>55</v>
      </c>
      <c r="Y25" s="548"/>
    </row>
    <row r="26" spans="1:25" ht="12" customHeight="1" x14ac:dyDescent="0.2">
      <c r="A26" s="89" t="s">
        <v>120</v>
      </c>
      <c r="C26" s="90"/>
      <c r="D26" s="88"/>
      <c r="E26" s="88"/>
      <c r="F26" s="88"/>
      <c r="G26" s="88"/>
      <c r="H26" s="88"/>
      <c r="I26" s="88"/>
      <c r="J26" s="88"/>
      <c r="K26" s="88"/>
      <c r="L26" s="813">
        <f>IF(J27=K27,0,IF(K27&gt;0,(J27-K27)/K27,"--"))</f>
        <v>0.10390000000000001</v>
      </c>
      <c r="M26" s="66"/>
      <c r="T26" s="548"/>
    </row>
    <row r="27" spans="1:25" ht="12" customHeight="1" x14ac:dyDescent="0.2">
      <c r="A27" s="89" t="s">
        <v>121</v>
      </c>
      <c r="C27" s="90" t="s">
        <v>57</v>
      </c>
      <c r="D27" s="555">
        <f>SUMIFS('Accounting data'!$G$2:$G$37002,'Accounting data'!$H$2:$H$37002,"1000*",'Accounting data'!$I$2:$I$37002,"200*",'Accounting data'!$J$2:$J$37002,"21*",'Accounting data'!$K$2:$K$37002,"61*")+SUMIFS('Accounting data'!$G$2:$G$37002,'Accounting data'!$H$2:$H$37002,"1500*",'Accounting data'!$I$2:$I$37002,"200*",'Accounting data'!$J$2:$J$37002,"21*",'Accounting data'!$K$2:$K$37002,"61*")+SUMIFS('Accounting data'!$G$2:$G$37002,'Accounting data'!$H$2:$H$37002,"1000*",'Accounting data'!$I$2:$I$37002,"270*",'Accounting data'!$J$2:$J$37002,"21*",'Accounting data'!$K$2:$K$37002,"61*")+SUMIFS('Accounting data'!$G$2:$G$37002,'Accounting data'!$H$2:$H$37002,"1500*",'Accounting data'!$I$2:$I$37002,"270*",'Accounting data'!$J$2:$J$37002,"21*",'Accounting data'!$K$2:$K$37002,"61*")</f>
        <v>89507</v>
      </c>
      <c r="E27" s="555">
        <f>SUMIFS('Accounting data'!$G$2:$G$37002,'Accounting data'!$H$2:$H$37002,"1000*",'Accounting data'!$I$2:$I$37002,"200*",'Accounting data'!$J$2:$J$37002,"21*",'Accounting data'!$K$2:$K$37002,"62*")+SUMIFS('Accounting data'!$G$2:$G$37002,'Accounting data'!$H$2:$H$37002,"1500*",'Accounting data'!$I$2:$I$37002,"200*",'Accounting data'!$J$2:$J$37002,"21*",'Accounting data'!$K$2:$K$37002,"62*")+SUMIFS('Accounting data'!$G$2:$G$37002,'Accounting data'!$H$2:$H$37002,"1000*",'Accounting data'!$I$2:$I$37002,"270*",'Accounting data'!$J$2:$J$37002,"21*",'Accounting data'!$K$2:$K$37002,"62*")+SUMIFS('Accounting data'!$G$2:$G$37002,'Accounting data'!$H$2:$H$37002,"1500*",'Accounting data'!$I$2:$I$37002,"270*",'Accounting data'!$J$2:$J$37002,"21*",'Accounting data'!$K$2:$K$37002,"62*")</f>
        <v>34280</v>
      </c>
      <c r="F27" s="555">
        <f>SUMIFS('Accounting data'!$G$2:$G$37002,'Accounting data'!$H$2:$H$37002,"1000*",'Accounting data'!$I$2:$I$37002,"200*",'Accounting data'!$J$2:$J$37002,"21*",'Accounting data'!$K$2:$K$37002,"63*")+SUMIFS('Accounting data'!$G$2:$G$37002,'Accounting data'!$H$2:$H$37002,"1500*",'Accounting data'!$I$2:$I$37002,"200*",'Accounting data'!$J$2:$J$37002,"21*",'Accounting data'!$K$2:$K$37002,"63*")+SUMIFS('Accounting data'!$G$2:$G$37002,'Accounting data'!$H$2:$H$37002,"1000*",'Accounting data'!$I$2:$I$37002,"270*",'Accounting data'!$J$2:$J$37002,"21*",'Accounting data'!$K$2:$K$37002,"63*")+SUMIFS('Accounting data'!$G$2:$G$37002,'Accounting data'!$H$2:$H$37002,"1500*",'Accounting data'!$I$2:$I$37002,"270*",'Accounting data'!$J$2:$J$37002,"21*",'Accounting data'!$K$2:$K$37002,"63*")</f>
        <v>717576</v>
      </c>
      <c r="G27" s="555">
        <f>SUMIFS('Accounting data'!$G$2:$G$37002,'Accounting data'!$H$2:$H$37002,"1000*",'Accounting data'!$I$2:$I$37002,"200*",'Accounting data'!$J$2:$J$37002,"21*",'Accounting data'!$K$2:$K$37002,"66*")+SUMIFS('Accounting data'!$G$2:$G$37002,'Accounting data'!$H$2:$H$37002,"1500*",'Accounting data'!$I$2:$I$37002,"200*",'Accounting data'!$J$2:$J$37002,"21*",'Accounting data'!$K$2:$K$37002,"66*")+SUMIFS('Accounting data'!$G$2:$G$37002,'Accounting data'!$H$2:$H$37002,"1000*",'Accounting data'!$I$2:$I$37002,"270*",'Accounting data'!$J$2:$J$37002,"21*",'Accounting data'!$K$2:$K$37002,"66*")+SUMIFS('Accounting data'!$G$2:$G$37002,'Accounting data'!$H$2:$H$37002,"1500*",'Accounting data'!$I$2:$I$37002,"270*",'Accounting data'!$J$2:$J$37002,"21*",'Accounting data'!$K$2:$K$37002,"66*")</f>
        <v>1905</v>
      </c>
      <c r="H27" s="555">
        <f>SUMIFS('Accounting data'!$G$2:$G$37002,'Accounting data'!$H$2:$H$37002,"1000*",'Accounting data'!$I$2:$I$37002,"200*",'Accounting data'!$J$2:$J$37002,"21*",'Accounting data'!$K$2:$K$37002,"68*")+SUMIFS('Accounting data'!$G$2:$G$37002,'Accounting data'!$H$2:$H$37002,"1500*",'Accounting data'!$I$2:$I$37002,"200*",'Accounting data'!$J$2:$J$37002,"21*",'Accounting data'!$K$2:$K$37002,"68*")+SUMIFS('Accounting data'!$G$2:$G$37002,'Accounting data'!$H$2:$H$37002,"1000*",'Accounting data'!$I$2:$I$37002,"270*",'Accounting data'!$J$2:$J$37002,"21*",'Accounting data'!$K$2:$K$37002,"68*")+SUMIFS('Accounting data'!$G$2:$G$37002,'Accounting data'!$H$2:$H$37002,"1500*",'Accounting data'!$I$2:$I$37002,"270*",'Accounting data'!$J$2:$J$37002,"21*",'Accounting data'!$K$2:$K$37002,"68*")</f>
        <v>0</v>
      </c>
      <c r="I27" s="555">
        <f>[1]!SP1000P200F2100</f>
        <v>745000</v>
      </c>
      <c r="J27" s="555">
        <f>SUM(D27:H27)</f>
        <v>843268</v>
      </c>
      <c r="K27" s="555">
        <f>[2]!SP1000P200F2100</f>
        <v>763881</v>
      </c>
      <c r="L27" s="814"/>
      <c r="M27" s="66" t="s">
        <v>57</v>
      </c>
    </row>
    <row r="28" spans="1:25" ht="12" customHeight="1" x14ac:dyDescent="0.2">
      <c r="A28" s="89" t="s">
        <v>122</v>
      </c>
      <c r="C28" s="90" t="s">
        <v>59</v>
      </c>
      <c r="D28" s="551">
        <f>SUMIFS('Accounting data'!$G$2:$G$37002,'Accounting data'!$H$2:$H$37002,"1000*",'Accounting data'!$I$2:$I$37002,"200*",'Accounting data'!$J$2:$J$37002,"22*",'Accounting data'!$K$2:$K$37002,"61*")+SUMIFS('Accounting data'!$G$2:$G$37002,'Accounting data'!$H$2:$H$37002,"1500*",'Accounting data'!$I$2:$I$37002,"200*",'Accounting data'!$J$2:$J$37002,"22*",'Accounting data'!$K$2:$K$37002,"61*")+SUMIFS('Accounting data'!$G$2:$G$37002,'Accounting data'!$H$2:$H$37002,"1000*",'Accounting data'!$I$2:$I$37002,"270*",'Accounting data'!$J$2:$J$37002,"22*",'Accounting data'!$K$2:$K$37002,"61*")+SUMIFS('Accounting data'!$G$2:$G$37002,'Accounting data'!$H$2:$H$37002,"1500*",'Accounting data'!$I$2:$I$37002,"270*",'Accounting data'!$J$2:$J$37002,"22*",'Accounting data'!$K$2:$K$37002,"61*")</f>
        <v>0</v>
      </c>
      <c r="E28" s="551">
        <f>SUMIFS('Accounting data'!$G$2:$G$37002,'Accounting data'!$H$2:$H$37002,"1000*",'Accounting data'!$I$2:$I$37002,"200*",'Accounting data'!$J$2:$J$37002,"22*",'Accounting data'!$K$2:$K$37002,"62*")+SUMIFS('Accounting data'!$G$2:$G$37002,'Accounting data'!$H$2:$H$37002,"1500*",'Accounting data'!$I$2:$I$37002,"200*",'Accounting data'!$J$2:$J$37002,"22*",'Accounting data'!$K$2:$K$37002,"62*")+SUMIFS('Accounting data'!$G$2:$G$37002,'Accounting data'!$H$2:$H$37002,"1000*",'Accounting data'!$I$2:$I$37002,"270*",'Accounting data'!$J$2:$J$37002,"22*",'Accounting data'!$K$2:$K$37002,"62*")+SUMIFS('Accounting data'!$G$2:$G$37002,'Accounting data'!$H$2:$H$37002,"1500*",'Accounting data'!$I$2:$I$37002,"270*",'Accounting data'!$J$2:$J$37002,"22*",'Accounting data'!$K$2:$K$37002,"62*")</f>
        <v>0</v>
      </c>
      <c r="F28" s="551">
        <f>SUMIFS('Accounting data'!$G$2:$G$37002,'Accounting data'!$H$2:$H$37002,"1000*",'Accounting data'!$I$2:$I$37002,"200*",'Accounting data'!$J$2:$J$37002,"22*",'Accounting data'!$K$2:$K$37002,"63*")+SUMIFS('Accounting data'!$G$2:$G$37002,'Accounting data'!$H$2:$H$37002,"1500*",'Accounting data'!$I$2:$I$37002,"200*",'Accounting data'!$J$2:$J$37002,"22*",'Accounting data'!$K$2:$K$37002,"63*")+SUMIFS('Accounting data'!$G$2:$G$37002,'Accounting data'!$H$2:$H$37002,"1000*",'Accounting data'!$I$2:$I$37002,"270*",'Accounting data'!$J$2:$J$37002,"22*",'Accounting data'!$K$2:$K$37002,"63*")+SUMIFS('Accounting data'!$G$2:$G$37002,'Accounting data'!$H$2:$H$37002,"1500*",'Accounting data'!$I$2:$I$37002,"270*",'Accounting data'!$J$2:$J$37002,"22*",'Accounting data'!$K$2:$K$37002,"63*")</f>
        <v>3042</v>
      </c>
      <c r="G28" s="551">
        <f>SUMIFS('Accounting data'!$G$2:$G$37002,'Accounting data'!$H$2:$H$37002,"1000*",'Accounting data'!$I$2:$I$37002,"200*",'Accounting data'!$J$2:$J$37002,"22*",'Accounting data'!$K$2:$K$37002,"66*")+SUMIFS('Accounting data'!$G$2:$G$37002,'Accounting data'!$H$2:$H$37002,"1500*",'Accounting data'!$I$2:$I$37002,"200*",'Accounting data'!$J$2:$J$37002,"22*",'Accounting data'!$K$2:$K$37002,"66*")+SUMIFS('Accounting data'!$G$2:$G$37002,'Accounting data'!$H$2:$H$37002,"1000*",'Accounting data'!$I$2:$I$37002,"270*",'Accounting data'!$J$2:$J$37002,"22*",'Accounting data'!$K$2:$K$37002,"66*")+SUMIFS('Accounting data'!$G$2:$G$37002,'Accounting data'!$H$2:$H$37002,"1500*",'Accounting data'!$I$2:$I$37002,"270*",'Accounting data'!$J$2:$J$37002,"22*",'Accounting data'!$K$2:$K$37002,"66*")</f>
        <v>0</v>
      </c>
      <c r="H28" s="551">
        <f>SUMIFS('Accounting data'!$G$2:$G$37002,'Accounting data'!$H$2:$H$37002,"1000*",'Accounting data'!$I$2:$I$37002,"200*",'Accounting data'!$J$2:$J$37002,"22*",'Accounting data'!$K$2:$K$37002,"68*")+SUMIFS('Accounting data'!$G$2:$G$37002,'Accounting data'!$H$2:$H$37002,"1500*",'Accounting data'!$I$2:$I$37002,"200*",'Accounting data'!$J$2:$J$37002,"22*",'Accounting data'!$K$2:$K$37002,"68*")+SUMIFS('Accounting data'!$G$2:$G$37002,'Accounting data'!$H$2:$H$37002,"1000*",'Accounting data'!$I$2:$I$37002,"270*",'Accounting data'!$J$2:$J$37002,"22*",'Accounting data'!$K$2:$K$37002,"68*")+SUMIFS('Accounting data'!$G$2:$G$37002,'Accounting data'!$H$2:$H$37002,"1500*",'Accounting data'!$I$2:$I$37002,"270*",'Accounting data'!$J$2:$J$37002,"22*",'Accounting data'!$K$2:$K$37002,"68*")</f>
        <v>0</v>
      </c>
      <c r="I28" s="550">
        <f>[1]!SP1000P200F2200</f>
        <v>4000</v>
      </c>
      <c r="J28" s="552">
        <f t="shared" ref="J28:J36" si="3">SUM(D28:H28)</f>
        <v>3042</v>
      </c>
      <c r="K28" s="550">
        <f>[2]!SP1000P200F2200</f>
        <v>2834</v>
      </c>
      <c r="L28" s="553">
        <f t="shared" ref="L28:L48" si="4">IF(J28=K28,0,IF(K28&gt;0,(J28-K28)/K28,"--"))</f>
        <v>7.3400000000000007E-2</v>
      </c>
      <c r="M28" s="66" t="s">
        <v>59</v>
      </c>
    </row>
    <row r="29" spans="1:25" ht="12" customHeight="1" x14ac:dyDescent="0.2">
      <c r="A29" s="89" t="s">
        <v>123</v>
      </c>
      <c r="C29" s="90" t="s">
        <v>61</v>
      </c>
      <c r="D29" s="551">
        <f>SUMIFS('Accounting data'!$G$2:$G$37002,'Accounting data'!$H$2:$H$37002,"1000*",'Accounting data'!$I$2:$I$37002,"200*",'Accounting data'!$J$2:$J$37002,"23*",'Accounting data'!$K$2:$K$37002,"61*")+SUMIFS('Accounting data'!$G$2:$G$37002,'Accounting data'!$H$2:$H$37002,"1500*",'Accounting data'!$I$2:$I$37002,"200*",'Accounting data'!$J$2:$J$37002,"23*",'Accounting data'!$K$2:$K$37002,"61*")+SUMIFS('Accounting data'!$G$2:$G$37002,'Accounting data'!$H$2:$H$37002,"1000*",'Accounting data'!$I$2:$I$37002,"270*",'Accounting data'!$J$2:$J$37002,"23*",'Accounting data'!$K$2:$K$37002,"61*")+SUMIFS('Accounting data'!$G$2:$G$37002,'Accounting data'!$H$2:$H$37002,"1500*",'Accounting data'!$I$2:$I$37002,"270*",'Accounting data'!$J$2:$J$37002,"23*",'Accounting data'!$K$2:$K$37002,"61*")</f>
        <v>0</v>
      </c>
      <c r="E29" s="551">
        <f>SUMIFS('Accounting data'!$G$2:$G$37002,'Accounting data'!$H$2:$H$37002,"1000*",'Accounting data'!$I$2:$I$37002,"200*",'Accounting data'!$J$2:$J$37002,"23*",'Accounting data'!$K$2:$K$37002,"62*")+SUMIFS('Accounting data'!$G$2:$G$37002,'Accounting data'!$H$2:$H$37002,"1500*",'Accounting data'!$I$2:$I$37002,"200*",'Accounting data'!$J$2:$J$37002,"23*",'Accounting data'!$K$2:$K$37002,"62*")+SUMIFS('Accounting data'!$G$2:$G$37002,'Accounting data'!$H$2:$H$37002,"1000*",'Accounting data'!$I$2:$I$37002,"270*",'Accounting data'!$J$2:$J$37002,"23*",'Accounting data'!$K$2:$K$37002,"62*")+SUMIFS('Accounting data'!$G$2:$G$37002,'Accounting data'!$H$2:$H$37002,"1500*",'Accounting data'!$I$2:$I$37002,"270*",'Accounting data'!$J$2:$J$37002,"23*",'Accounting data'!$K$2:$K$37002,"62*")</f>
        <v>0</v>
      </c>
      <c r="F29" s="551">
        <f>SUMIFS('Accounting data'!$G$2:$G$37002,'Accounting data'!$H$2:$H$37002,"1000*",'Accounting data'!$I$2:$I$37002,"200*",'Accounting data'!$J$2:$J$37002,"23*",'Accounting data'!$K$2:$K$37002,"63*")+SUMIFS('Accounting data'!$G$2:$G$37002,'Accounting data'!$H$2:$H$37002,"1500*",'Accounting data'!$I$2:$I$37002,"200*",'Accounting data'!$J$2:$J$37002,"23*",'Accounting data'!$K$2:$K$37002,"63*")+SUMIFS('Accounting data'!$G$2:$G$37002,'Accounting data'!$H$2:$H$37002,"1000*",'Accounting data'!$I$2:$I$37002,"270*",'Accounting data'!$J$2:$J$37002,"23*",'Accounting data'!$K$2:$K$37002,"63*")+SUMIFS('Accounting data'!$G$2:$G$37002,'Accounting data'!$H$2:$H$37002,"1500*",'Accounting data'!$I$2:$I$37002,"270*",'Accounting data'!$J$2:$J$37002,"23*",'Accounting data'!$K$2:$K$37002,"63*")</f>
        <v>0</v>
      </c>
      <c r="G29" s="551">
        <f>SUMIFS('Accounting data'!$G$2:$G$37002,'Accounting data'!$H$2:$H$37002,"1000*",'Accounting data'!$I$2:$I$37002,"200*",'Accounting data'!$J$2:$J$37002,"23*",'Accounting data'!$K$2:$K$37002,"66*")+SUMIFS('Accounting data'!$G$2:$G$37002,'Accounting data'!$H$2:$H$37002,"1500*",'Accounting data'!$I$2:$I$37002,"200*",'Accounting data'!$J$2:$J$37002,"23*",'Accounting data'!$K$2:$K$37002,"66*")+SUMIFS('Accounting data'!$G$2:$G$37002,'Accounting data'!$H$2:$H$37002,"1000*",'Accounting data'!$I$2:$I$37002,"270*",'Accounting data'!$J$2:$J$37002,"23*",'Accounting data'!$K$2:$K$37002,"66*")+SUMIFS('Accounting data'!$G$2:$G$37002,'Accounting data'!$H$2:$H$37002,"1500*",'Accounting data'!$I$2:$I$37002,"270*",'Accounting data'!$J$2:$J$37002,"23*",'Accounting data'!$K$2:$K$37002,"66*")</f>
        <v>0</v>
      </c>
      <c r="H29" s="551">
        <f>SUMIFS('Accounting data'!$G$2:$G$37002,'Accounting data'!$H$2:$H$37002,"1000*",'Accounting data'!$I$2:$I$37002,"200*",'Accounting data'!$J$2:$J$37002,"23*",'Accounting data'!$K$2:$K$37002,"68*")+SUMIFS('Accounting data'!$G$2:$G$37002,'Accounting data'!$H$2:$H$37002,"1500*",'Accounting data'!$I$2:$I$37002,"200*",'Accounting data'!$J$2:$J$37002,"23*",'Accounting data'!$K$2:$K$37002,"68*")+SUMIFS('Accounting data'!$G$2:$G$37002,'Accounting data'!$H$2:$H$37002,"1000*",'Accounting data'!$I$2:$I$37002,"270*",'Accounting data'!$J$2:$J$37002,"23*",'Accounting data'!$K$2:$K$37002,"68*")+SUMIFS('Accounting data'!$G$2:$G$37002,'Accounting data'!$H$2:$H$37002,"1500*",'Accounting data'!$I$2:$I$37002,"270*",'Accounting data'!$J$2:$J$37002,"23*",'Accounting data'!$K$2:$K$37002,"68*")</f>
        <v>0</v>
      </c>
      <c r="I29" s="550">
        <f>[1]!SP1000P200F2300</f>
        <v>0</v>
      </c>
      <c r="J29" s="552">
        <f t="shared" si="3"/>
        <v>0</v>
      </c>
      <c r="K29" s="550">
        <f>[2]!SP1000P200F2300</f>
        <v>0</v>
      </c>
      <c r="L29" s="553">
        <f t="shared" si="4"/>
        <v>0</v>
      </c>
      <c r="M29" s="66" t="s">
        <v>61</v>
      </c>
    </row>
    <row r="30" spans="1:25" ht="12" customHeight="1" x14ac:dyDescent="0.2">
      <c r="A30" s="89" t="s">
        <v>124</v>
      </c>
      <c r="C30" s="90" t="s">
        <v>63</v>
      </c>
      <c r="D30" s="551">
        <f>SUMIFS('Accounting data'!$G$2:$G$37002,'Accounting data'!$H$2:$H$37002,"1000*",'Accounting data'!$I$2:$I$37002,"200*",'Accounting data'!$J$2:$J$37002,"24*",'Accounting data'!$K$2:$K$37002,"61*")+SUMIFS('Accounting data'!$G$2:$G$37002,'Accounting data'!$H$2:$H$37002,"1500*",'Accounting data'!$I$2:$I$37002,"200*",'Accounting data'!$J$2:$J$37002,"24*",'Accounting data'!$K$2:$K$37002,"61*")+SUMIFS('Accounting data'!$G$2:$G$37002,'Accounting data'!$H$2:$H$37002,"1000*",'Accounting data'!$I$2:$I$37002,"270*",'Accounting data'!$J$2:$J$37002,"24*",'Accounting data'!$K$2:$K$37002,"61*")+SUMIFS('Accounting data'!$G$2:$G$37002,'Accounting data'!$H$2:$H$37002,"1500*",'Accounting data'!$I$2:$I$37002,"270*",'Accounting data'!$J$2:$J$37002,"24*",'Accounting data'!$K$2:$K$37002,"61*")</f>
        <v>110917</v>
      </c>
      <c r="E30" s="551">
        <f>SUMIFS('Accounting data'!$G$2:$G$37002,'Accounting data'!$H$2:$H$37002,"1000*",'Accounting data'!$I$2:$I$37002,"200*",'Accounting data'!$J$2:$J$37002,"24*",'Accounting data'!$K$2:$K$37002,"62*")+SUMIFS('Accounting data'!$G$2:$G$37002,'Accounting data'!$H$2:$H$37002,"1500*",'Accounting data'!$I$2:$I$37002,"200*",'Accounting data'!$J$2:$J$37002,"24*",'Accounting data'!$K$2:$K$37002,"62*")+SUMIFS('Accounting data'!$G$2:$G$37002,'Accounting data'!$H$2:$H$37002,"1000*",'Accounting data'!$I$2:$I$37002,"270*",'Accounting data'!$J$2:$J$37002,"24*",'Accounting data'!$K$2:$K$37002,"62*")+SUMIFS('Accounting data'!$G$2:$G$37002,'Accounting data'!$H$2:$H$37002,"1500*",'Accounting data'!$I$2:$I$37002,"270*",'Accounting data'!$J$2:$J$37002,"24*",'Accounting data'!$K$2:$K$37002,"62*")</f>
        <v>26514</v>
      </c>
      <c r="F30" s="551">
        <f>SUMIFS('Accounting data'!$G$2:$G$37002,'Accounting data'!$H$2:$H$37002,"1000*",'Accounting data'!$I$2:$I$37002,"200*",'Accounting data'!$J$2:$J$37002,"24*",'Accounting data'!$K$2:$K$37002,"63*")+SUMIFS('Accounting data'!$G$2:$G$37002,'Accounting data'!$H$2:$H$37002,"1500*",'Accounting data'!$I$2:$I$37002,"200*",'Accounting data'!$J$2:$J$37002,"24*",'Accounting data'!$K$2:$K$37002,"63*")+SUMIFS('Accounting data'!$G$2:$G$37002,'Accounting data'!$H$2:$H$37002,"1000*",'Accounting data'!$I$2:$I$37002,"270*",'Accounting data'!$J$2:$J$37002,"24*",'Accounting data'!$K$2:$K$37002,"63*")+SUMIFS('Accounting data'!$G$2:$G$37002,'Accounting data'!$H$2:$H$37002,"1500*",'Accounting data'!$I$2:$I$37002,"270*",'Accounting data'!$J$2:$J$37002,"24*",'Accounting data'!$K$2:$K$37002,"63*")</f>
        <v>0</v>
      </c>
      <c r="G30" s="551">
        <f>SUMIFS('Accounting data'!$G$2:$G$37002,'Accounting data'!$H$2:$H$37002,"1000*",'Accounting data'!$I$2:$I$37002,"200*",'Accounting data'!$J$2:$J$37002,"24*",'Accounting data'!$K$2:$K$37002,"66*")+SUMIFS('Accounting data'!$G$2:$G$37002,'Accounting data'!$H$2:$H$37002,"1500*",'Accounting data'!$I$2:$I$37002,"200*",'Accounting data'!$J$2:$J$37002,"24*",'Accounting data'!$K$2:$K$37002,"66*")+SUMIFS('Accounting data'!$G$2:$G$37002,'Accounting data'!$H$2:$H$37002,"1000*",'Accounting data'!$I$2:$I$37002,"270*",'Accounting data'!$J$2:$J$37002,"24*",'Accounting data'!$K$2:$K$37002,"66*")+SUMIFS('Accounting data'!$G$2:$G$37002,'Accounting data'!$H$2:$H$37002,"1500*",'Accounting data'!$I$2:$I$37002,"270*",'Accounting data'!$J$2:$J$37002,"24*",'Accounting data'!$K$2:$K$37002,"66*")</f>
        <v>0</v>
      </c>
      <c r="H30" s="551">
        <f>SUMIFS('Accounting data'!$G$2:$G$37002,'Accounting data'!$H$2:$H$37002,"1000*",'Accounting data'!$I$2:$I$37002,"200*",'Accounting data'!$J$2:$J$37002,"24*",'Accounting data'!$K$2:$K$37002,"68*")+SUMIFS('Accounting data'!$G$2:$G$37002,'Accounting data'!$H$2:$H$37002,"1500*",'Accounting data'!$I$2:$I$37002,"200*",'Accounting data'!$J$2:$J$37002,"24*",'Accounting data'!$K$2:$K$37002,"68*")+SUMIFS('Accounting data'!$G$2:$G$37002,'Accounting data'!$H$2:$H$37002,"1000*",'Accounting data'!$I$2:$I$37002,"270*",'Accounting data'!$J$2:$J$37002,"24*",'Accounting data'!$K$2:$K$37002,"68*")+SUMIFS('Accounting data'!$G$2:$G$37002,'Accounting data'!$H$2:$H$37002,"1500*",'Accounting data'!$I$2:$I$37002,"270*",'Accounting data'!$J$2:$J$37002,"24*",'Accounting data'!$K$2:$K$37002,"68*")</f>
        <v>0</v>
      </c>
      <c r="I30" s="550">
        <f>[1]!SP1000P200F2400</f>
        <v>131000</v>
      </c>
      <c r="J30" s="552">
        <f t="shared" si="3"/>
        <v>137431</v>
      </c>
      <c r="K30" s="550">
        <f>[2]!SP1000P200F2400</f>
        <v>131550</v>
      </c>
      <c r="L30" s="553">
        <f t="shared" si="4"/>
        <v>4.4699999999999997E-2</v>
      </c>
      <c r="M30" s="66" t="s">
        <v>63</v>
      </c>
    </row>
    <row r="31" spans="1:25" ht="12" customHeight="1" x14ac:dyDescent="0.2">
      <c r="A31" s="89" t="s">
        <v>125</v>
      </c>
      <c r="C31" s="90" t="s">
        <v>65</v>
      </c>
      <c r="D31" s="551">
        <f>SUMIFS('Accounting data'!$G$2:$G$37002,'Accounting data'!$H$2:$H$37002,"1000*",'Accounting data'!$I$2:$I$37002,"200*",'Accounting data'!$J$2:$J$37002,"25*",'Accounting data'!$K$2:$K$37002,"61*")+SUMIFS('Accounting data'!$G$2:$G$37002,'Accounting data'!$H$2:$H$37002,"1500*",'Accounting data'!$I$2:$I$37002,"200*",'Accounting data'!$J$2:$J$37002,"25*",'Accounting data'!$K$2:$K$37002,"61*")+SUMIFS('Accounting data'!$G$2:$G$37002,'Accounting data'!$H$2:$H$37002,"1000*",'Accounting data'!$I$2:$I$37002,"270*",'Accounting data'!$J$2:$J$37002,"25*",'Accounting data'!$K$2:$K$37002,"61*")+SUMIFS('Accounting data'!$G$2:$G$37002,'Accounting data'!$H$2:$H$37002,"1500*",'Accounting data'!$I$2:$I$37002,"270*",'Accounting data'!$J$2:$J$37002,"25*",'Accounting data'!$K$2:$K$37002,"61*")</f>
        <v>0</v>
      </c>
      <c r="E31" s="551">
        <f>SUMIFS('Accounting data'!$G$2:$G$37002,'Accounting data'!$H$2:$H$37002,"1000*",'Accounting data'!$I$2:$I$37002,"200*",'Accounting data'!$J$2:$J$37002,"25*",'Accounting data'!$K$2:$K$37002,"62*")+SUMIFS('Accounting data'!$G$2:$G$37002,'Accounting data'!$H$2:$H$37002,"1500*",'Accounting data'!$I$2:$I$37002,"200*",'Accounting data'!$J$2:$J$37002,"25*",'Accounting data'!$K$2:$K$37002,"62*")+SUMIFS('Accounting data'!$G$2:$G$37002,'Accounting data'!$H$2:$H$37002,"1000*",'Accounting data'!$I$2:$I$37002,"270*",'Accounting data'!$J$2:$J$37002,"25*",'Accounting data'!$K$2:$K$37002,"62*")+SUMIFS('Accounting data'!$G$2:$G$37002,'Accounting data'!$H$2:$H$37002,"1500*",'Accounting data'!$I$2:$I$37002,"270*",'Accounting data'!$J$2:$J$37002,"25*",'Accounting data'!$K$2:$K$37002,"62*")</f>
        <v>0</v>
      </c>
      <c r="F31" s="551">
        <f>SUMIFS('Accounting data'!$G$2:$G$37002,'Accounting data'!$H$2:$H$37002,"1000*",'Accounting data'!$I$2:$I$37002,"200*",'Accounting data'!$J$2:$J$37002,"25*",'Accounting data'!$K$2:$K$37002,"63*")+SUMIFS('Accounting data'!$G$2:$G$37002,'Accounting data'!$H$2:$H$37002,"1500*",'Accounting data'!$I$2:$I$37002,"200*",'Accounting data'!$J$2:$J$37002,"25*",'Accounting data'!$K$2:$K$37002,"63*")+SUMIFS('Accounting data'!$G$2:$G$37002,'Accounting data'!$H$2:$H$37002,"1000*",'Accounting data'!$I$2:$I$37002,"270*",'Accounting data'!$J$2:$J$37002,"25*",'Accounting data'!$K$2:$K$37002,"63*")+SUMIFS('Accounting data'!$G$2:$G$37002,'Accounting data'!$H$2:$H$37002,"1500*",'Accounting data'!$I$2:$I$37002,"270*",'Accounting data'!$J$2:$J$37002,"25*",'Accounting data'!$K$2:$K$37002,"63*")</f>
        <v>0</v>
      </c>
      <c r="G31" s="551">
        <f>SUMIFS('Accounting data'!$G$2:$G$37002,'Accounting data'!$H$2:$H$37002,"1000*",'Accounting data'!$I$2:$I$37002,"200*",'Accounting data'!$J$2:$J$37002,"25*",'Accounting data'!$K$2:$K$37002,"66*")+SUMIFS('Accounting data'!$G$2:$G$37002,'Accounting data'!$H$2:$H$37002,"1500*",'Accounting data'!$I$2:$I$37002,"200*",'Accounting data'!$J$2:$J$37002,"25*",'Accounting data'!$K$2:$K$37002,"66*")+SUMIFS('Accounting data'!$G$2:$G$37002,'Accounting data'!$H$2:$H$37002,"1000*",'Accounting data'!$I$2:$I$37002,"270*",'Accounting data'!$J$2:$J$37002,"25*",'Accounting data'!$K$2:$K$37002,"66*")+SUMIFS('Accounting data'!$G$2:$G$37002,'Accounting data'!$H$2:$H$37002,"1500*",'Accounting data'!$I$2:$I$37002,"270*",'Accounting data'!$J$2:$J$37002,"25*",'Accounting data'!$K$2:$K$37002,"66*")</f>
        <v>0</v>
      </c>
      <c r="H31" s="551">
        <f>SUMIFS('Accounting data'!$G$2:$G$37002,'Accounting data'!$H$2:$H$37002,"1000*",'Accounting data'!$I$2:$I$37002,"200*",'Accounting data'!$J$2:$J$37002,"25*",'Accounting data'!$K$2:$K$37002,"68*")+SUMIFS('Accounting data'!$G$2:$G$37002,'Accounting data'!$H$2:$H$37002,"1500*",'Accounting data'!$I$2:$I$37002,"200*",'Accounting data'!$J$2:$J$37002,"25*",'Accounting data'!$K$2:$K$37002,"68*")+SUMIFS('Accounting data'!$G$2:$G$37002,'Accounting data'!$H$2:$H$37002,"1000*",'Accounting data'!$I$2:$I$37002,"270*",'Accounting data'!$J$2:$J$37002,"25*",'Accounting data'!$K$2:$K$37002,"68*")+SUMIFS('Accounting data'!$G$2:$G$37002,'Accounting data'!$H$2:$H$37002,"1500*",'Accounting data'!$I$2:$I$37002,"270*",'Accounting data'!$J$2:$J$37002,"25*",'Accounting data'!$K$2:$K$37002,"68*")</f>
        <v>0</v>
      </c>
      <c r="I31" s="550">
        <f>[1]!SP1000P200F2500</f>
        <v>0</v>
      </c>
      <c r="J31" s="552">
        <f t="shared" si="3"/>
        <v>0</v>
      </c>
      <c r="K31" s="550">
        <f>[2]!SP1000P200F2500</f>
        <v>0</v>
      </c>
      <c r="L31" s="553">
        <f t="shared" si="4"/>
        <v>0</v>
      </c>
      <c r="M31" s="66" t="s">
        <v>65</v>
      </c>
    </row>
    <row r="32" spans="1:25" ht="12" customHeight="1" x14ac:dyDescent="0.2">
      <c r="A32" s="89" t="s">
        <v>126</v>
      </c>
      <c r="C32" s="90" t="s">
        <v>67</v>
      </c>
      <c r="D32" s="551">
        <f>SUMIFS('Accounting data'!$G$2:$G$37002,'Accounting data'!$H$2:$H$37002,"1000*",'Accounting data'!$I$2:$I$37002,"200*",'Accounting data'!$J$2:$J$37002,"26*",'Accounting data'!$K$2:$K$37002,"61*")+SUMIFS('Accounting data'!$G$2:$G$37002,'Accounting data'!$H$2:$H$37002,"1500*",'Accounting data'!$I$2:$I$37002,"200*",'Accounting data'!$J$2:$J$37002,"26*",'Accounting data'!$K$2:$K$37002,"61*")+SUMIFS('Accounting data'!$G$2:$G$37002,'Accounting data'!$H$2:$H$37002,"1000*",'Accounting data'!$I$2:$I$37002,"270*",'Accounting data'!$J$2:$J$37002,"26*",'Accounting data'!$K$2:$K$37002,"61*")+SUMIFS('Accounting data'!$G$2:$G$37002,'Accounting data'!$H$2:$H$37002,"1500*",'Accounting data'!$I$2:$I$37002,"270*",'Accounting data'!$J$2:$J$37002,"26*",'Accounting data'!$K$2:$K$37002,"61*")</f>
        <v>0</v>
      </c>
      <c r="E32" s="551">
        <f>SUMIFS('Accounting data'!$G$2:$G$37002,'Accounting data'!$H$2:$H$37002,"1000*",'Accounting data'!$I$2:$I$37002,"200*",'Accounting data'!$J$2:$J$37002,"26*",'Accounting data'!$K$2:$K$37002,"62*")+SUMIFS('Accounting data'!$G$2:$G$37002,'Accounting data'!$H$2:$H$37002,"1500*",'Accounting data'!$I$2:$I$37002,"200*",'Accounting data'!$J$2:$J$37002,"26*",'Accounting data'!$K$2:$K$37002,"62*")+SUMIFS('Accounting data'!$G$2:$G$37002,'Accounting data'!$H$2:$H$37002,"1000*",'Accounting data'!$I$2:$I$37002,"270*",'Accounting data'!$J$2:$J$37002,"26*",'Accounting data'!$K$2:$K$37002,"62*")+SUMIFS('Accounting data'!$G$2:$G$37002,'Accounting data'!$H$2:$H$37002,"1500*",'Accounting data'!$I$2:$I$37002,"270*",'Accounting data'!$J$2:$J$37002,"26*",'Accounting data'!$K$2:$K$37002,"62*")</f>
        <v>0</v>
      </c>
      <c r="F32" s="551">
        <f>SUMIFS('Accounting data'!$G$2:$G$37002,'Accounting data'!$H$2:$H$37002,"1000*",'Accounting data'!$I$2:$I$37002,"200*",'Accounting data'!$J$2:$J$37002,"26*",'Accounting data'!$K$2:$K$37002,"63*")+SUMIFS('Accounting data'!$G$2:$G$37002,'Accounting data'!$H$2:$H$37002,"1500*",'Accounting data'!$I$2:$I$37002,"200*",'Accounting data'!$J$2:$J$37002,"26*",'Accounting data'!$K$2:$K$37002,"63*")+SUMIFS('Accounting data'!$G$2:$G$37002,'Accounting data'!$H$2:$H$37002,"1000*",'Accounting data'!$I$2:$I$37002,"270*",'Accounting data'!$J$2:$J$37002,"26*",'Accounting data'!$K$2:$K$37002,"63*")+SUMIFS('Accounting data'!$G$2:$G$37002,'Accounting data'!$H$2:$H$37002,"1500*",'Accounting data'!$I$2:$I$37002,"270*",'Accounting data'!$J$2:$J$37002,"26*",'Accounting data'!$K$2:$K$37002,"63*")</f>
        <v>0</v>
      </c>
      <c r="G32" s="551">
        <f>SUMIFS('Accounting data'!$G$2:$G$37002,'Accounting data'!$H$2:$H$37002,"1000*",'Accounting data'!$I$2:$I$37002,"200*",'Accounting data'!$J$2:$J$37002,"26*",'Accounting data'!$K$2:$K$37002,"66*")+SUMIFS('Accounting data'!$G$2:$G$37002,'Accounting data'!$H$2:$H$37002,"1500*",'Accounting data'!$I$2:$I$37002,"200*",'Accounting data'!$J$2:$J$37002,"26*",'Accounting data'!$K$2:$K$37002,"66*")+SUMIFS('Accounting data'!$G$2:$G$37002,'Accounting data'!$H$2:$H$37002,"1000*",'Accounting data'!$I$2:$I$37002,"270*",'Accounting data'!$J$2:$J$37002,"26*",'Accounting data'!$K$2:$K$37002,"66*")+SUMIFS('Accounting data'!$G$2:$G$37002,'Accounting data'!$H$2:$H$37002,"1500*",'Accounting data'!$I$2:$I$37002,"270*",'Accounting data'!$J$2:$J$37002,"26*",'Accounting data'!$K$2:$K$37002,"66*")</f>
        <v>0</v>
      </c>
      <c r="H32" s="551">
        <f>SUMIFS('Accounting data'!$G$2:$G$37002,'Accounting data'!$H$2:$H$37002,"1000*",'Accounting data'!$I$2:$I$37002,"200*",'Accounting data'!$J$2:$J$37002,"26*",'Accounting data'!$K$2:$K$37002,"68*")+SUMIFS('Accounting data'!$G$2:$G$37002,'Accounting data'!$H$2:$H$37002,"1500*",'Accounting data'!$I$2:$I$37002,"200*",'Accounting data'!$J$2:$J$37002,"26*",'Accounting data'!$K$2:$K$37002,"68*")+SUMIFS('Accounting data'!$G$2:$G$37002,'Accounting data'!$H$2:$H$37002,"1000*",'Accounting data'!$I$2:$I$37002,"270*",'Accounting data'!$J$2:$J$37002,"26*",'Accounting data'!$K$2:$K$37002,"68*")+SUMIFS('Accounting data'!$G$2:$G$37002,'Accounting data'!$H$2:$H$37002,"1500*",'Accounting data'!$I$2:$I$37002,"270*",'Accounting data'!$J$2:$J$37002,"26*",'Accounting data'!$K$2:$K$37002,"68*")</f>
        <v>0</v>
      </c>
      <c r="I32" s="550">
        <f>[1]!SP1000P200F2600</f>
        <v>0</v>
      </c>
      <c r="J32" s="552">
        <f t="shared" si="3"/>
        <v>0</v>
      </c>
      <c r="K32" s="550">
        <f>[2]!SP1000P200F2600</f>
        <v>0</v>
      </c>
      <c r="L32" s="553">
        <f t="shared" si="4"/>
        <v>0</v>
      </c>
      <c r="M32" s="66" t="s">
        <v>67</v>
      </c>
    </row>
    <row r="33" spans="1:13" ht="12" customHeight="1" x14ac:dyDescent="0.2">
      <c r="A33" s="89" t="s">
        <v>127</v>
      </c>
      <c r="C33" s="90" t="s">
        <v>69</v>
      </c>
      <c r="D33" s="551">
        <f>SUMIFS('Accounting data'!$G$2:$G$37002,'Accounting data'!$H$2:$H$37002,"1000*",'Accounting data'!$I$2:$I$37002,"200*",'Accounting data'!$J$2:$J$37002,"29*",'Accounting data'!$K$2:$K$37002,"61*")+SUMIFS('Accounting data'!$G$2:$G$37002,'Accounting data'!$H$2:$H$37002,"1500*",'Accounting data'!$I$2:$I$37002,"200*",'Accounting data'!$J$2:$J$37002,"29*",'Accounting data'!$K$2:$K$37002,"61*")+SUMIFS('Accounting data'!$G$2:$G$37002,'Accounting data'!$H$2:$H$37002,"1000*",'Accounting data'!$I$2:$I$37002,"270*",'Accounting data'!$J$2:$J$37002,"29*",'Accounting data'!$K$2:$K$37002,"61*")+SUMIFS('Accounting data'!$G$2:$G$37002,'Accounting data'!$H$2:$H$37002,"1500*",'Accounting data'!$I$2:$I$37002,"270*",'Accounting data'!$J$2:$J$37002,"29*",'Accounting data'!$K$2:$K$37002,"61*")</f>
        <v>0</v>
      </c>
      <c r="E33" s="551">
        <f>SUMIFS('Accounting data'!$G$2:$G$37002,'Accounting data'!$H$2:$H$37002,"1000*",'Accounting data'!$I$2:$I$37002,"200*",'Accounting data'!$J$2:$J$37002,"29*",'Accounting data'!$K$2:$K$37002,"62*")+SUMIFS('Accounting data'!$G$2:$G$37002,'Accounting data'!$H$2:$H$37002,"1500*",'Accounting data'!$I$2:$I$37002,"200*",'Accounting data'!$J$2:$J$37002,"29*",'Accounting data'!$K$2:$K$37002,"62*")+SUMIFS('Accounting data'!$G$2:$G$37002,'Accounting data'!$H$2:$H$37002,"1000*",'Accounting data'!$I$2:$I$37002,"270*",'Accounting data'!$J$2:$J$37002,"29*",'Accounting data'!$K$2:$K$37002,"62*")+SUMIFS('Accounting data'!$G$2:$G$37002,'Accounting data'!$H$2:$H$37002,"1500*",'Accounting data'!$I$2:$I$37002,"270*",'Accounting data'!$J$2:$J$37002,"29*",'Accounting data'!$K$2:$K$37002,"62*")</f>
        <v>0</v>
      </c>
      <c r="F33" s="551">
        <f>SUMIFS('Accounting data'!$G$2:$G$37002,'Accounting data'!$H$2:$H$37002,"1000*",'Accounting data'!$I$2:$I$37002,"200*",'Accounting data'!$J$2:$J$37002,"29*",'Accounting data'!$K$2:$K$37002,"63*")+SUMIFS('Accounting data'!$G$2:$G$37002,'Accounting data'!$H$2:$H$37002,"1500*",'Accounting data'!$I$2:$I$37002,"200*",'Accounting data'!$J$2:$J$37002,"29*",'Accounting data'!$K$2:$K$37002,"63*")+SUMIFS('Accounting data'!$G$2:$G$37002,'Accounting data'!$H$2:$H$37002,"1000*",'Accounting data'!$I$2:$I$37002,"270*",'Accounting data'!$J$2:$J$37002,"29*",'Accounting data'!$K$2:$K$37002,"63*")+SUMIFS('Accounting data'!$G$2:$G$37002,'Accounting data'!$H$2:$H$37002,"1500*",'Accounting data'!$I$2:$I$37002,"270*",'Accounting data'!$J$2:$J$37002,"29*",'Accounting data'!$K$2:$K$37002,"63*")</f>
        <v>0</v>
      </c>
      <c r="G33" s="551">
        <f>SUMIFS('Accounting data'!$G$2:$G$37002,'Accounting data'!$H$2:$H$37002,"1000*",'Accounting data'!$I$2:$I$37002,"200*",'Accounting data'!$J$2:$J$37002,"29*",'Accounting data'!$K$2:$K$37002,"66*")+SUMIFS('Accounting data'!$G$2:$G$37002,'Accounting data'!$H$2:$H$37002,"1500*",'Accounting data'!$I$2:$I$37002,"200*",'Accounting data'!$J$2:$J$37002,"29*",'Accounting data'!$K$2:$K$37002,"66*")+SUMIFS('Accounting data'!$G$2:$G$37002,'Accounting data'!$H$2:$H$37002,"1000*",'Accounting data'!$I$2:$I$37002,"270*",'Accounting data'!$J$2:$J$37002,"29*",'Accounting data'!$K$2:$K$37002,"66*")+SUMIFS('Accounting data'!$G$2:$G$37002,'Accounting data'!$H$2:$H$37002,"1500*",'Accounting data'!$I$2:$I$37002,"270*",'Accounting data'!$J$2:$J$37002,"29*",'Accounting data'!$K$2:$K$37002,"66*")</f>
        <v>0</v>
      </c>
      <c r="H33" s="551">
        <f>SUMIFS('Accounting data'!$G$2:$G$37002,'Accounting data'!$H$2:$H$37002,"1000*",'Accounting data'!$I$2:$I$37002,"200*",'Accounting data'!$J$2:$J$37002,"29*",'Accounting data'!$K$2:$K$37002,"68*")+SUMIFS('Accounting data'!$G$2:$G$37002,'Accounting data'!$H$2:$H$37002,"1500*",'Accounting data'!$I$2:$I$37002,"200*",'Accounting data'!$J$2:$J$37002,"29*",'Accounting data'!$K$2:$K$37002,"68*")+SUMIFS('Accounting data'!$G$2:$G$37002,'Accounting data'!$H$2:$H$37002,"1000*",'Accounting data'!$I$2:$I$37002,"270*",'Accounting data'!$J$2:$J$37002,"29*",'Accounting data'!$K$2:$K$37002,"68*")+SUMIFS('Accounting data'!$G$2:$G$37002,'Accounting data'!$H$2:$H$37002,"1500*",'Accounting data'!$I$2:$I$37002,"270*",'Accounting data'!$J$2:$J$37002,"29*",'Accounting data'!$K$2:$K$37002,"68*")</f>
        <v>0</v>
      </c>
      <c r="I33" s="550">
        <f>[1]!SP1000P200F2900</f>
        <v>0</v>
      </c>
      <c r="J33" s="552">
        <f t="shared" si="3"/>
        <v>0</v>
      </c>
      <c r="K33" s="550">
        <f>[2]!SP1000P200F2900</f>
        <v>0</v>
      </c>
      <c r="L33" s="553">
        <f t="shared" si="4"/>
        <v>0</v>
      </c>
      <c r="M33" s="66" t="s">
        <v>69</v>
      </c>
    </row>
    <row r="34" spans="1:13" ht="12" customHeight="1" x14ac:dyDescent="0.2">
      <c r="A34" s="89" t="s">
        <v>128</v>
      </c>
      <c r="C34" s="90" t="s">
        <v>71</v>
      </c>
      <c r="D34" s="551">
        <f>SUMIFS('Accounting data'!$G$2:$G$37002,'Accounting data'!$H$2:$H$37002,"1000*",'Accounting data'!$I$2:$I$37002,"200*",'Accounting data'!$J$2:$J$37002,"3*",'Accounting data'!$K$2:$K$37002,"61*")+SUMIFS('Accounting data'!$G$2:$G$37002,'Accounting data'!$H$2:$H$37002,"1500*",'Accounting data'!$I$2:$I$37002,"200*",'Accounting data'!$J$2:$J$37002,"3*",'Accounting data'!$K$2:$K$37002,"61*")+SUMIFS('Accounting data'!$G$2:$G$37002,'Accounting data'!$H$2:$H$37002,"1000*",'Accounting data'!$I$2:$I$37002,"270*",'Accounting data'!$J$2:$J$37002,"3*",'Accounting data'!$K$2:$K$37002,"61*")+SUMIFS('Accounting data'!$G$2:$G$37002,'Accounting data'!$H$2:$H$37002,"1500*",'Accounting data'!$I$2:$I$37002,"270*",'Accounting data'!$J$2:$J$37002,"3*",'Accounting data'!$K$2:$K$37002,"61*")</f>
        <v>0</v>
      </c>
      <c r="E34" s="551">
        <f>SUMIFS('Accounting data'!$G$2:$G$37002,'Accounting data'!$H$2:$H$37002,"1000*",'Accounting data'!$I$2:$I$37002,"200*",'Accounting data'!$J$2:$J$37002,"3*",'Accounting data'!$K$2:$K$37002,"62*")+SUMIFS('Accounting data'!$G$2:$G$37002,'Accounting data'!$H$2:$H$37002,"1500*",'Accounting data'!$I$2:$I$37002,"200*",'Accounting data'!$J$2:$J$37002,"3*",'Accounting data'!$K$2:$K$37002,"62*")+SUMIFS('Accounting data'!$G$2:$G$37002,'Accounting data'!$H$2:$H$37002,"1000*",'Accounting data'!$I$2:$I$37002,"270*",'Accounting data'!$J$2:$J$37002,"3*",'Accounting data'!$K$2:$K$37002,"62*")+SUMIFS('Accounting data'!$G$2:$G$37002,'Accounting data'!$H$2:$H$37002,"1500*",'Accounting data'!$I$2:$I$37002,"270*",'Accounting data'!$J$2:$J$37002,"3*",'Accounting data'!$K$2:$K$37002,"62*")</f>
        <v>0</v>
      </c>
      <c r="F34" s="551">
        <f>SUMIFS('Accounting data'!$G$2:$G$37002,'Accounting data'!$H$2:$H$37002,"1000*",'Accounting data'!$I$2:$I$37002,"200*",'Accounting data'!$J$2:$J$37002,"3*",'Accounting data'!$K$2:$K$37002,"63*")+SUMIFS('Accounting data'!$G$2:$G$37002,'Accounting data'!$H$2:$H$37002,"1500*",'Accounting data'!$I$2:$I$37002,"200*",'Accounting data'!$J$2:$J$37002,"3*",'Accounting data'!$K$2:$K$37002,"63*")+SUMIFS('Accounting data'!$G$2:$G$37002,'Accounting data'!$H$2:$H$37002,"1000*",'Accounting data'!$I$2:$I$37002,"270*",'Accounting data'!$J$2:$J$37002,"3*",'Accounting data'!$K$2:$K$37002,"63*")+SUMIFS('Accounting data'!$G$2:$G$37002,'Accounting data'!$H$2:$H$37002,"1500*",'Accounting data'!$I$2:$I$37002,"270*",'Accounting data'!$J$2:$J$37002,"3*",'Accounting data'!$K$2:$K$37002,"63*")</f>
        <v>0</v>
      </c>
      <c r="G34" s="551">
        <f>SUMIFS('Accounting data'!$G$2:$G$37002,'Accounting data'!$H$2:$H$37002,"1000*",'Accounting data'!$I$2:$I$37002,"200*",'Accounting data'!$J$2:$J$37002,"3*",'Accounting data'!$K$2:$K$37002,"66*")+SUMIFS('Accounting data'!$G$2:$G$37002,'Accounting data'!$H$2:$H$37002,"1500*",'Accounting data'!$I$2:$I$37002,"200*",'Accounting data'!$J$2:$J$37002,"3*",'Accounting data'!$K$2:$K$37002,"66*")+SUMIFS('Accounting data'!$G$2:$G$37002,'Accounting data'!$H$2:$H$37002,"1000*",'Accounting data'!$I$2:$I$37002,"270*",'Accounting data'!$J$2:$J$37002,"3*",'Accounting data'!$K$2:$K$37002,"66*")+SUMIFS('Accounting data'!$G$2:$G$37002,'Accounting data'!$H$2:$H$37002,"1500*",'Accounting data'!$I$2:$I$37002,"270*",'Accounting data'!$J$2:$J$37002,"3*",'Accounting data'!$K$2:$K$37002,"66*")</f>
        <v>0</v>
      </c>
      <c r="H34" s="551">
        <f>SUMIFS('Accounting data'!$G$2:$G$37002,'Accounting data'!$H$2:$H$37002,"1000*",'Accounting data'!$I$2:$I$37002,"200*",'Accounting data'!$J$2:$J$37002,"3*",'Accounting data'!$K$2:$K$37002,"68*")+SUMIFS('Accounting data'!$G$2:$G$37002,'Accounting data'!$H$2:$H$37002,"1500*",'Accounting data'!$I$2:$I$37002,"200*",'Accounting data'!$J$2:$J$37002,"3*",'Accounting data'!$K$2:$K$37002,"68*")+SUMIFS('Accounting data'!$G$2:$G$37002,'Accounting data'!$H$2:$H$37002,"1000*",'Accounting data'!$I$2:$I$37002,"270*",'Accounting data'!$J$2:$J$37002,"3*",'Accounting data'!$K$2:$K$37002,"68*")+SUMIFS('Accounting data'!$G$2:$G$37002,'Accounting data'!$H$2:$H$37002,"1500*",'Accounting data'!$I$2:$I$37002,"270*",'Accounting data'!$J$2:$J$37002,"3*",'Accounting data'!$K$2:$K$37002,"68*")</f>
        <v>0</v>
      </c>
      <c r="I34" s="550">
        <f>[1]!SP1000P200F3000</f>
        <v>0</v>
      </c>
      <c r="J34" s="552">
        <f t="shared" si="3"/>
        <v>0</v>
      </c>
      <c r="K34" s="550">
        <f>[2]!SP1000P200F3000</f>
        <v>0</v>
      </c>
      <c r="L34" s="553">
        <f t="shared" si="4"/>
        <v>0</v>
      </c>
      <c r="M34" s="66" t="s">
        <v>71</v>
      </c>
    </row>
    <row r="35" spans="1:13" ht="12" customHeight="1" x14ac:dyDescent="0.2">
      <c r="A35" s="89" t="s">
        <v>129</v>
      </c>
      <c r="C35" s="90" t="s">
        <v>73</v>
      </c>
      <c r="D35" s="551">
        <f>SUMIFS('Accounting data'!$G$2:$G$37002,'Accounting data'!$H$2:$H$37002,"1000*",'Accounting data'!$I$2:$I$37002,"200*",'Accounting data'!$J$2:$J$37002,"4*",'Accounting data'!$K$2:$K$37002,"61*")+SUMIFS('Accounting data'!$G$2:$G$37002,'Accounting data'!$H$2:$H$37002,"1500*",'Accounting data'!$I$2:$I$37002,"200*",'Accounting data'!$J$2:$J$37002,"4*",'Accounting data'!$K$2:$K$37002,"61*")+SUMIFS('Accounting data'!$G$2:$G$37002,'Accounting data'!$H$2:$H$37002,"1000*",'Accounting data'!$I$2:$I$37002,"270*",'Accounting data'!$J$2:$J$37002,"4*",'Accounting data'!$K$2:$K$37002,"61*")+SUMIFS('Accounting data'!$G$2:$G$37002,'Accounting data'!$H$2:$H$37002,"1500*",'Accounting data'!$I$2:$I$37002,"270*",'Accounting data'!$J$2:$J$37002,"4*",'Accounting data'!$K$2:$K$37002,"61*")</f>
        <v>0</v>
      </c>
      <c r="E35" s="551">
        <f>SUMIFS('Accounting data'!$G$2:$G$37002,'Accounting data'!$H$2:$H$37002,"1000*",'Accounting data'!$I$2:$I$37002,"200*",'Accounting data'!$J$2:$J$37002,"4*",'Accounting data'!$K$2:$K$37002,"62*")+SUMIFS('Accounting data'!$G$2:$G$37002,'Accounting data'!$H$2:$H$37002,"1500*",'Accounting data'!$I$2:$I$37002,"200*",'Accounting data'!$J$2:$J$37002,"4*",'Accounting data'!$K$2:$K$37002,"62*")+SUMIFS('Accounting data'!$G$2:$G$37002,'Accounting data'!$H$2:$H$37002,"1000*",'Accounting data'!$I$2:$I$37002,"270*",'Accounting data'!$J$2:$J$37002,"4*",'Accounting data'!$K$2:$K$37002,"62*")+SUMIFS('Accounting data'!$G$2:$G$37002,'Accounting data'!$H$2:$H$37002,"1500*",'Accounting data'!$I$2:$I$37002,"270*",'Accounting data'!$J$2:$J$37002,"4*",'Accounting data'!$K$2:$K$37002,"62*")</f>
        <v>0</v>
      </c>
      <c r="F35" s="551">
        <f>SUMIFS('Accounting data'!$G$2:$G$37002,'Accounting data'!$H$2:$H$37002,"1000*",'Accounting data'!$I$2:$I$37002,"200*",'Accounting data'!$J$2:$J$37002,"4*",'Accounting data'!$K$2:$K$37002,"63*")+SUMIFS('Accounting data'!$G$2:$G$37002,'Accounting data'!$H$2:$H$37002,"1500*",'Accounting data'!$I$2:$I$37002,"200*",'Accounting data'!$J$2:$J$37002,"4*",'Accounting data'!$K$2:$K$37002,"63*")+SUMIFS('Accounting data'!$G$2:$G$37002,'Accounting data'!$H$2:$H$37002,"1000*",'Accounting data'!$I$2:$I$37002,"270*",'Accounting data'!$J$2:$J$37002,"4*",'Accounting data'!$K$2:$K$37002,"63*")+SUMIFS('Accounting data'!$G$2:$G$37002,'Accounting data'!$H$2:$H$37002,"1500*",'Accounting data'!$I$2:$I$37002,"270*",'Accounting data'!$J$2:$J$37002,"4*",'Accounting data'!$K$2:$K$37002,"63*")</f>
        <v>0</v>
      </c>
      <c r="G35" s="551">
        <f>SUMIFS('Accounting data'!$G$2:$G$37002,'Accounting data'!$H$2:$H$37002,"1000*",'Accounting data'!$I$2:$I$37002,"200*",'Accounting data'!$J$2:$J$37002,"4*",'Accounting data'!$K$2:$K$37002,"66*")+SUMIFS('Accounting data'!$G$2:$G$37002,'Accounting data'!$H$2:$H$37002,"1500*",'Accounting data'!$I$2:$I$37002,"200*",'Accounting data'!$J$2:$J$37002,"4*",'Accounting data'!$K$2:$K$37002,"66*")+SUMIFS('Accounting data'!$G$2:$G$37002,'Accounting data'!$H$2:$H$37002,"1000*",'Accounting data'!$I$2:$I$37002,"270*",'Accounting data'!$J$2:$J$37002,"4*",'Accounting data'!$K$2:$K$37002,"66*")+SUMIFS('Accounting data'!$G$2:$G$37002,'Accounting data'!$H$2:$H$37002,"1500*",'Accounting data'!$I$2:$I$37002,"270*",'Accounting data'!$J$2:$J$37002,"4*",'Accounting data'!$K$2:$K$37002,"66*")</f>
        <v>0</v>
      </c>
      <c r="H35" s="551">
        <f>SUMIFS('Accounting data'!$G$2:$G$37002,'Accounting data'!$H$2:$H$37002,"1000*",'Accounting data'!$I$2:$I$37002,"200*",'Accounting data'!$J$2:$J$37002,"4*",'Accounting data'!$K$2:$K$37002,"68*")+SUMIFS('Accounting data'!$G$2:$G$37002,'Accounting data'!$H$2:$H$37002,"1500*",'Accounting data'!$I$2:$I$37002,"200*",'Accounting data'!$J$2:$J$37002,"4*",'Accounting data'!$K$2:$K$37002,"68*")+SUMIFS('Accounting data'!$G$2:$G$37002,'Accounting data'!$H$2:$H$37002,"1000*",'Accounting data'!$I$2:$I$37002,"270*",'Accounting data'!$J$2:$J$37002,"4*",'Accounting data'!$K$2:$K$37002,"68*")+SUMIFS('Accounting data'!$G$2:$G$37002,'Accounting data'!$H$2:$H$37002,"1500*",'Accounting data'!$I$2:$I$37002,"270*",'Accounting data'!$J$2:$J$37002,"4*",'Accounting data'!$K$2:$K$37002,"68*")</f>
        <v>0</v>
      </c>
      <c r="I35" s="550">
        <f>[1]!SP1000P200F4000</f>
        <v>0</v>
      </c>
      <c r="J35" s="552">
        <f t="shared" si="3"/>
        <v>0</v>
      </c>
      <c r="K35" s="550">
        <f>[2]!SP1000P200F4000</f>
        <v>0</v>
      </c>
      <c r="L35" s="553">
        <f t="shared" si="4"/>
        <v>0</v>
      </c>
      <c r="M35" s="66" t="s">
        <v>73</v>
      </c>
    </row>
    <row r="36" spans="1:13" ht="12" customHeight="1" x14ac:dyDescent="0.2">
      <c r="A36" s="89" t="s">
        <v>130</v>
      </c>
      <c r="C36" s="90" t="s">
        <v>75</v>
      </c>
      <c r="D36" s="551">
        <f>SUMIFS('Accounting data'!$G$2:$G$37002,'Accounting data'!$H$2:$H$37002,"1000*",'Accounting data'!$I$2:$I$37002,"200*",'Accounting data'!$J$2:$J$37002,"5*",'Accounting data'!$K$2:$K$37002,"61*")+SUMIFS('Accounting data'!$G$2:$G$37002,'Accounting data'!$H$2:$H$37002,"1500*",'Accounting data'!$I$2:$I$37002,"200*",'Accounting data'!$J$2:$J$37002,"5*",'Accounting data'!$K$2:$K$37002,"61*")+SUMIFS('Accounting data'!$G$2:$G$37002,'Accounting data'!$H$2:$H$37002,"1000*",'Accounting data'!$I$2:$I$37002,"270*",'Accounting data'!$J$2:$J$37002,"5*",'Accounting data'!$K$2:$K$37002,"61*")+SUMIFS('Accounting data'!$G$2:$G$37002,'Accounting data'!$H$2:$H$37002,"1500*",'Accounting data'!$I$2:$I$37002,"270*",'Accounting data'!$J$2:$J$37002,"5*",'Accounting data'!$K$2:$K$37002,"61*")</f>
        <v>0</v>
      </c>
      <c r="E36" s="551">
        <f>SUMIFS('Accounting data'!$G$2:$G$37002,'Accounting data'!$H$2:$H$37002,"1000*",'Accounting data'!$I$2:$I$37002,"200*",'Accounting data'!$J$2:$J$37002,"5*",'Accounting data'!$K$2:$K$37002,"62*")+SUMIFS('Accounting data'!$G$2:$G$37002,'Accounting data'!$H$2:$H$37002,"1500*",'Accounting data'!$I$2:$I$37002,"200*",'Accounting data'!$J$2:$J$37002,"5*",'Accounting data'!$K$2:$K$37002,"62*")+SUMIFS('Accounting data'!$G$2:$G$37002,'Accounting data'!$H$2:$H$37002,"1000*",'Accounting data'!$I$2:$I$37002,"270*",'Accounting data'!$J$2:$J$37002,"5*",'Accounting data'!$K$2:$K$37002,"62*")+SUMIFS('Accounting data'!$G$2:$G$37002,'Accounting data'!$H$2:$H$37002,"1500*",'Accounting data'!$I$2:$I$37002,"270*",'Accounting data'!$J$2:$J$37002,"5*",'Accounting data'!$K$2:$K$37002,"62*")</f>
        <v>0</v>
      </c>
      <c r="F36" s="551">
        <f>SUMIFS('Accounting data'!$G$2:$G$37002,'Accounting data'!$H$2:$H$37002,"1000*",'Accounting data'!$I$2:$I$37002,"200*",'Accounting data'!$J$2:$J$37002,"5*",'Accounting data'!$K$2:$K$37002,"63*")+SUMIFS('Accounting data'!$G$2:$G$37002,'Accounting data'!$H$2:$H$37002,"1500*",'Accounting data'!$I$2:$I$37002,"200*",'Accounting data'!$J$2:$J$37002,"5*",'Accounting data'!$K$2:$K$37002,"63*")+SUMIFS('Accounting data'!$G$2:$G$37002,'Accounting data'!$H$2:$H$37002,"1000*",'Accounting data'!$I$2:$I$37002,"270*",'Accounting data'!$J$2:$J$37002,"5*",'Accounting data'!$K$2:$K$37002,"63*")+SUMIFS('Accounting data'!$G$2:$G$37002,'Accounting data'!$H$2:$H$37002,"1500*",'Accounting data'!$I$2:$I$37002,"270*",'Accounting data'!$J$2:$J$37002,"5*",'Accounting data'!$K$2:$K$37002,"63*")</f>
        <v>0</v>
      </c>
      <c r="G36" s="551">
        <f>SUMIFS('Accounting data'!$G$2:$G$37002,'Accounting data'!$H$2:$H$37002,"1000*",'Accounting data'!$I$2:$I$37002,"200*",'Accounting data'!$J$2:$J$37002,"5*",'Accounting data'!$K$2:$K$37002,"66*")+SUMIFS('Accounting data'!$G$2:$G$37002,'Accounting data'!$H$2:$H$37002,"1500*",'Accounting data'!$I$2:$I$37002,"200*",'Accounting data'!$J$2:$J$37002,"5*",'Accounting data'!$K$2:$K$37002,"66*")+SUMIFS('Accounting data'!$G$2:$G$37002,'Accounting data'!$H$2:$H$37002,"1000*",'Accounting data'!$I$2:$I$37002,"270*",'Accounting data'!$J$2:$J$37002,"5*",'Accounting data'!$K$2:$K$37002,"66*")+SUMIFS('Accounting data'!$G$2:$G$37002,'Accounting data'!$H$2:$H$37002,"1500*",'Accounting data'!$I$2:$I$37002,"270*",'Accounting data'!$J$2:$J$37002,"5*",'Accounting data'!$K$2:$K$37002,"66*")</f>
        <v>0</v>
      </c>
      <c r="H36" s="551">
        <f>SUMIFS('Accounting data'!$G$2:$G$37002,'Accounting data'!$H$2:$H$37002,"1000*",'Accounting data'!$I$2:$I$37002,"200*",'Accounting data'!$J$2:$J$37002,"5*",'Accounting data'!$K$2:$K$37002,"68*")+SUMIFS('Accounting data'!$G$2:$G$37002,'Accounting data'!$H$2:$H$37002,"1500*",'Accounting data'!$I$2:$I$37002,"200*",'Accounting data'!$J$2:$J$37002,"5*",'Accounting data'!$K$2:$K$37002,"68*")+SUMIFS('Accounting data'!$G$2:$G$37002,'Accounting data'!$H$2:$H$37002,"1000*",'Accounting data'!$I$2:$I$37002,"270*",'Accounting data'!$J$2:$J$37002,"5*",'Accounting data'!$K$2:$K$37002,"68*")+SUMIFS('Accounting data'!$G$2:$G$37002,'Accounting data'!$H$2:$H$37002,"1500*",'Accounting data'!$I$2:$I$37002,"270*",'Accounting data'!$J$2:$J$37002,"5*",'Accounting data'!$K$2:$K$37002,"68*")</f>
        <v>0</v>
      </c>
      <c r="I36" s="550">
        <f>[1]!SP1000P200F5000</f>
        <v>0</v>
      </c>
      <c r="J36" s="552">
        <f t="shared" si="3"/>
        <v>0</v>
      </c>
      <c r="K36" s="550">
        <f>[2]!SP1000P200F5000</f>
        <v>0</v>
      </c>
      <c r="L36" s="553">
        <f t="shared" si="4"/>
        <v>0</v>
      </c>
      <c r="M36" s="66" t="s">
        <v>75</v>
      </c>
    </row>
    <row r="37" spans="1:13" ht="12" customHeight="1" x14ac:dyDescent="0.2">
      <c r="A37" s="93" t="s">
        <v>131</v>
      </c>
      <c r="B37" s="6"/>
      <c r="C37" s="96" t="s">
        <v>77</v>
      </c>
      <c r="D37" s="551">
        <f>SUM(D25:D36)</f>
        <v>2214296</v>
      </c>
      <c r="E37" s="551">
        <f t="shared" ref="E37:G37" si="5">SUM(E25:E36)</f>
        <v>532506</v>
      </c>
      <c r="F37" s="551">
        <f t="shared" si="5"/>
        <v>805163</v>
      </c>
      <c r="G37" s="551">
        <f t="shared" si="5"/>
        <v>21911</v>
      </c>
      <c r="H37" s="551">
        <f>SUM(H25:H36)</f>
        <v>0</v>
      </c>
      <c r="I37" s="551">
        <f>SUM(I25:I36)</f>
        <v>2993000</v>
      </c>
      <c r="J37" s="551">
        <f>SUM(J25:J36)</f>
        <v>3573876</v>
      </c>
      <c r="K37" s="551">
        <f>SUM(K25:K36)</f>
        <v>3050806</v>
      </c>
      <c r="L37" s="97">
        <f t="shared" si="4"/>
        <v>0.17150000000000001</v>
      </c>
      <c r="M37" s="98" t="s">
        <v>77</v>
      </c>
    </row>
    <row r="38" spans="1:13" ht="12" customHeight="1" x14ac:dyDescent="0.2">
      <c r="A38" s="99" t="s">
        <v>132</v>
      </c>
      <c r="B38" s="100"/>
      <c r="C38" s="96" t="s">
        <v>79</v>
      </c>
      <c r="D38" s="551">
        <f>SUMIFS('Accounting data'!$G$2:$G$37002,'Accounting data'!$H$2:$H$37002,"1000*",'Accounting data'!$I$2:$I$37002,"400*",'Accounting data'!$K$2:$K$37002,"61*")+SUMIFS('Accounting data'!$G$2:$G$37002,'Accounting data'!$H$2:$H$37002,"1500*",'Accounting data'!$I$2:$I$37002,"400*",'Accounting data'!$K$2:$K$37002,"61*")</f>
        <v>0</v>
      </c>
      <c r="E38" s="551">
        <f>SUMIFS('Accounting data'!$G$2:$G$37002,'Accounting data'!$H$2:$H$37002,"1000*",'Accounting data'!$I$2:$I$37002,"400*",'Accounting data'!$K$2:$K$37002,"62*")+SUMIFS('Accounting data'!$G$2:$G$37002,'Accounting data'!$H$2:$H$37002,"1500*",'Accounting data'!$I$2:$I$37002,"400*",'Accounting data'!$K$2:$K$37002,"62*")</f>
        <v>0</v>
      </c>
      <c r="F38" s="551">
        <f>SUMIFS('Accounting data'!$G$2:$G$37002,'Accounting data'!$H$2:$H$37002,"1000*",'Accounting data'!$I$2:$I$37002,"400*",'Accounting data'!$K$2:$K$37002,"63*")+SUMIFS('Accounting data'!$G$2:$G$37002,'Accounting data'!$H$2:$H$37002,"1500*",'Accounting data'!$I$2:$I$37002,"400*",'Accounting data'!$K$2:$K$37002,"63*")</f>
        <v>2024</v>
      </c>
      <c r="G38" s="551">
        <f>SUMIFS('Accounting data'!$G$2:$G$37002,'Accounting data'!$H$2:$H$37002,"1000*",'Accounting data'!$I$2:$I$37002,"400*",'Accounting data'!$K$2:$K$37002,"66*")+SUMIFS('Accounting data'!$G$2:$G$37002,'Accounting data'!$H$2:$H$37002,"1500*",'Accounting data'!$I$2:$I$37002,"400*",'Accounting data'!$K$2:$K$37002,"66*")</f>
        <v>0</v>
      </c>
      <c r="H38" s="551">
        <f>SUMIFS('Accounting data'!$G$2:$G$37002,'Accounting data'!$H$2:$H$37002,"1000*",'Accounting data'!$I$2:$I$37002,"400*",'Accounting data'!$K$2:$K$37002,"68*")+SUMIFS('Accounting data'!$G$2:$G$37002,'Accounting data'!$H$2:$H$37002,"1500*",'Accounting data'!$I$2:$I$37002,"400*",'Accounting data'!$K$2:$K$37002,"68*")</f>
        <v>0</v>
      </c>
      <c r="I38" s="550">
        <f>[1]!SP1000P400</f>
        <v>0</v>
      </c>
      <c r="J38" s="552">
        <f>SUM(D38:H38)</f>
        <v>2024</v>
      </c>
      <c r="K38" s="550">
        <f>[2]!SP1000P400</f>
        <v>3300</v>
      </c>
      <c r="L38" s="553">
        <f t="shared" si="4"/>
        <v>-0.38669999999999999</v>
      </c>
      <c r="M38" s="98" t="s">
        <v>79</v>
      </c>
    </row>
    <row r="39" spans="1:13" ht="12" customHeight="1" x14ac:dyDescent="0.2">
      <c r="A39" s="99" t="s">
        <v>133</v>
      </c>
      <c r="B39" s="100"/>
      <c r="C39" s="101" t="s">
        <v>81</v>
      </c>
      <c r="D39" s="551">
        <f>SUMIFS('Accounting data'!$G$2:$G$37002,'Accounting data'!$H$2:$H$37002,"1000*",'Accounting data'!$I$2:$I$37002,"53*",'Accounting data'!$K$2:$K$37002,"61*")+SUMIFS('Accounting data'!$G$2:$G$37002,'Accounting data'!$H$2:$H$37002,"1500*",'Accounting data'!$I$2:$I$37002,"53*",'Accounting data'!$K$2:$K$37002,"61*")</f>
        <v>0</v>
      </c>
      <c r="E39" s="551">
        <f>SUMIFS('Accounting data'!$G$2:$G$37002,'Accounting data'!$H$2:$H$37002,"1000*",'Accounting data'!$I$2:$I$37002,"53*",'Accounting data'!$K$2:$K$37002,"62*")+SUMIFS('Accounting data'!$G$2:$G$37002,'Accounting data'!$H$2:$H$37002,"1000*",'Accounting data'!$I$2:$I$37002,"53*",'Accounting data'!$K$2:$K$37002,"62*")</f>
        <v>0</v>
      </c>
      <c r="F39" s="551">
        <f>SUMIFS('Accounting data'!$G$2:$G$37002,'Accounting data'!$H$2:$H$37002,"1000*",'Accounting data'!$I$2:$I$37002,"53*",'Accounting data'!$K$2:$K$37002,"63*")+SUMIFS('Accounting data'!$G$2:$G$37002,'Accounting data'!$H$2:$H$37002,"1500*",'Accounting data'!$I$2:$I$37002,"53*",'Accounting data'!$K$2:$K$37002,"63*")</f>
        <v>0</v>
      </c>
      <c r="G39" s="551">
        <f>SUMIFS('Accounting data'!$G$2:$G$37002,'Accounting data'!$H$2:$H$37002,"1000*",'Accounting data'!$I$2:$I$37002,"53*",'Accounting data'!$K$2:$K$37002,"66*")+SUMIFS('Accounting data'!$G$2:$G$37002,'Accounting data'!$H$2:$H$37002,"1500*",'Accounting data'!$I$2:$I$37002,"53*",'Accounting data'!$K$2:$K$37002,"66*")</f>
        <v>0</v>
      </c>
      <c r="H39" s="551">
        <f>SUMIFS('Accounting data'!$G$2:$G$37002,'Accounting data'!$H$2:$H$37002,"1000*",'Accounting data'!$I$2:$I$37002,"53*",'Accounting data'!$K$2:$K$37002,"68*")+SUMIFS('Accounting data'!$G$2:$G$37002,'Accounting data'!$H$2:$H$37002,"1500*",'Accounting data'!$I$2:$I$37002,"53*",'Accounting data'!$K$2:$K$37002,"68*")</f>
        <v>0</v>
      </c>
      <c r="I39" s="550">
        <f>[1]!SP1000P530</f>
        <v>0</v>
      </c>
      <c r="J39" s="552">
        <f>SUM(D39:H39)</f>
        <v>0</v>
      </c>
      <c r="K39" s="550">
        <f>[2]!SP1000P530</f>
        <v>0</v>
      </c>
      <c r="L39" s="553">
        <f t="shared" si="4"/>
        <v>0</v>
      </c>
      <c r="M39" s="98" t="s">
        <v>81</v>
      </c>
    </row>
    <row r="40" spans="1:13" ht="12" customHeight="1" x14ac:dyDescent="0.2">
      <c r="A40" s="99" t="s">
        <v>134</v>
      </c>
      <c r="B40" s="100"/>
      <c r="C40" s="101" t="s">
        <v>83</v>
      </c>
      <c r="D40" s="551">
        <f>SUMIFS('Accounting data'!$G$2:$G$37002,'Accounting data'!$H$2:$H$37002,"1000*",'Accounting data'!$I$2:$I$37002,"54*",'Accounting data'!$K$2:$K$37002,"61*")+SUMIFS('Accounting data'!$G$2:$G$37002,'Accounting data'!$H$2:$H$37002,"1500*",'Accounting data'!$I$2:$I$37002,"54*",'Accounting data'!$K$2:$K$37002,"61*")</f>
        <v>0</v>
      </c>
      <c r="E40" s="551">
        <f>SUMIFS('Accounting data'!$G$2:$G$37002,'Accounting data'!$H$2:$H$37002,"1000*",'Accounting data'!$I$2:$I$37002,"54*",'Accounting data'!$K$2:$K$37002,"62*")+SUMIFS('Accounting data'!$G$2:$G$37002,'Accounting data'!$H$2:$H$37002,"1500*",'Accounting data'!$I$2:$I$37002,"54*",'Accounting data'!$K$2:$K$37002,"62*")</f>
        <v>0</v>
      </c>
      <c r="F40" s="551">
        <f>SUMIFS('Accounting data'!$G$2:$G$37002,'Accounting data'!$H$2:$H$37002,"1000*",'Accounting data'!$I$2:$I$37002,"54*",'Accounting data'!$K$2:$K$37002,"63*")+SUMIFS('Accounting data'!$G$2:$G$37002,'Accounting data'!$H$2:$H$37002,"1500*",'Accounting data'!$I$2:$I$37002,"54*",'Accounting data'!$K$2:$K$37002,"63*")</f>
        <v>0</v>
      </c>
      <c r="G40" s="551">
        <f>SUMIFS('Accounting data'!$G$2:$G$37002,'Accounting data'!$H$2:$H$37002,"1000*",'Accounting data'!$I$2:$I$37002,"54*",'Accounting data'!$K$2:$K$37002,"66*")+SUMIFS('Accounting data'!$G$2:$G$37002,'Accounting data'!$H$2:$H$37002,"1500*",'Accounting data'!$I$2:$I$37002,"54*",'Accounting data'!$K$2:$K$37002,"66*")</f>
        <v>0</v>
      </c>
      <c r="H40" s="551">
        <f>SUMIFS('Accounting data'!$G$2:$G$37002,'Accounting data'!$H$2:$H$37002,"1000*",'Accounting data'!$I$2:$I$37002,"54*",'Accounting data'!$K$2:$K$37002,"68*")+SUMIFS('Accounting data'!$G$2:$G$37002,'Accounting data'!$H$2:$H$37002,"1500*",'Accounting data'!$I$2:$I$37002,"54*",'Accounting data'!$K$2:$K$37002,"68*")</f>
        <v>0</v>
      </c>
      <c r="I40" s="550">
        <f>[1]!SP1000P540</f>
        <v>0</v>
      </c>
      <c r="J40" s="552">
        <f>SUM(D40:H40)</f>
        <v>0</v>
      </c>
      <c r="K40" s="550">
        <f>[2]!SP1000P540</f>
        <v>0</v>
      </c>
      <c r="L40" s="553">
        <f t="shared" si="4"/>
        <v>0</v>
      </c>
      <c r="M40" s="98" t="s">
        <v>83</v>
      </c>
    </row>
    <row r="41" spans="1:13" ht="12" customHeight="1" x14ac:dyDescent="0.2">
      <c r="A41" s="99" t="s">
        <v>135</v>
      </c>
      <c r="B41" s="100"/>
      <c r="C41" s="101" t="s">
        <v>84</v>
      </c>
      <c r="D41" s="551">
        <f>SUMIFS('Accounting data'!$G$2:$G$37002,'Accounting data'!$H$2:$H$37002,"1000*",'Accounting data'!$I$2:$I$37002,"55*",'Accounting data'!$K$2:$K$37002,"61*")+SUMIFS('Accounting data'!$G$2:$G$37002,'Accounting data'!$H$2:$H$37002,"1500*",'Accounting data'!$I$2:$I$37002,"55*",'Accounting data'!$K$2:$K$37002,"61*")</f>
        <v>205766</v>
      </c>
      <c r="E41" s="551">
        <f>SUMIFS('Accounting data'!$G$2:$G$37002,'Accounting data'!$H$2:$H$37002,"1000*",'Accounting data'!$I$2:$I$37002,"55*",'Accounting data'!$K$2:$K$37002,"62*")+SUMIFS('Accounting data'!$G$2:$G$37002,'Accounting data'!$H$2:$H$37002,"1500*",'Accounting data'!$I$2:$I$37002,"55*",'Accounting data'!$K$2:$K$37002,"62*")</f>
        <v>33022</v>
      </c>
      <c r="F41" s="551">
        <f>SUMIFS('Accounting data'!$G$2:$G$37002,'Accounting data'!$H$2:$H$37002,"1000*",'Accounting data'!$I$2:$I$37002,"55*",'Accounting data'!$K$2:$K$37002,"63*")+SUMIFS('Accounting data'!$G$2:$G$37002,'Accounting data'!$H$2:$H$37002,"1500*",'Accounting data'!$I$2:$I$37002,"55*",'Accounting data'!$K$2:$K$37002,"63*")</f>
        <v>0</v>
      </c>
      <c r="G41" s="551">
        <f>SUMIFS('Accounting data'!$G$2:$G$37002,'Accounting data'!$H$2:$H$37002,"1000*",'Accounting data'!$I$2:$I$37002,"55*",'Accounting data'!$K$2:$K$37002,"66*")+SUMIFS('Accounting data'!$G$2:$G$37002,'Accounting data'!$H$2:$H$37002,"1500*",'Accounting data'!$I$2:$I$37002,"55*",'Accounting data'!$K$2:$K$37002,"66*")</f>
        <v>0</v>
      </c>
      <c r="H41" s="551">
        <f>SUMIFS('Accounting data'!$G$2:$G$37002,'Accounting data'!$H$2:$H$37002,"1000*",'Accounting data'!$I$2:$I$37002,"55*",'Accounting data'!$K$2:$K$37002,"68*")+SUMIFS('Accounting data'!$G$2:$G$37002,'Accounting data'!$H$2:$H$37002,"1500*",'Accounting data'!$I$2:$I$37002,"55*",'Accounting data'!$K$2:$K$37002,"68*")</f>
        <v>0</v>
      </c>
      <c r="I41" s="550">
        <f>[1]!SP1000P550</f>
        <v>259025</v>
      </c>
      <c r="J41" s="552">
        <f>SUM(D41:H41)</f>
        <v>238788</v>
      </c>
      <c r="K41" s="550">
        <f>[2]!SP1000P550</f>
        <v>241181</v>
      </c>
      <c r="L41" s="553">
        <f t="shared" si="4"/>
        <v>-9.9000000000000008E-3</v>
      </c>
      <c r="M41" s="98" t="s">
        <v>84</v>
      </c>
    </row>
    <row r="42" spans="1:13" ht="12" customHeight="1" x14ac:dyDescent="0.2">
      <c r="A42" s="99" t="s">
        <v>136</v>
      </c>
      <c r="B42" s="100"/>
      <c r="C42" s="101" t="s">
        <v>137</v>
      </c>
      <c r="D42" s="551">
        <f t="shared" ref="D42:I42" si="6">SUM(D38:D41)+D37+D23</f>
        <v>15315188</v>
      </c>
      <c r="E42" s="551">
        <f t="shared" si="6"/>
        <v>4072215</v>
      </c>
      <c r="F42" s="551">
        <f t="shared" si="6"/>
        <v>3145325</v>
      </c>
      <c r="G42" s="551">
        <f t="shared" si="6"/>
        <v>1153047</v>
      </c>
      <c r="H42" s="551">
        <f t="shared" si="6"/>
        <v>5705786</v>
      </c>
      <c r="I42" s="550">
        <f t="shared" si="6"/>
        <v>26599725</v>
      </c>
      <c r="J42" s="552">
        <f>SUM(J37:J41)+J23</f>
        <v>29391561</v>
      </c>
      <c r="K42" s="552">
        <f>SUM(K23)+SUM(K37:K41)</f>
        <v>26989631</v>
      </c>
      <c r="L42" s="553">
        <f t="shared" si="4"/>
        <v>8.8999999999999996E-2</v>
      </c>
      <c r="M42" s="98" t="s">
        <v>137</v>
      </c>
    </row>
    <row r="43" spans="1:13" ht="12" customHeight="1" x14ac:dyDescent="0.2">
      <c r="A43" s="99" t="s">
        <v>1152</v>
      </c>
      <c r="B43" s="100"/>
      <c r="C43" s="101" t="s">
        <v>138</v>
      </c>
      <c r="D43" s="551">
        <f>'Page 3'!F13</f>
        <v>2667271</v>
      </c>
      <c r="E43" s="551">
        <f>'Page 3'!G13</f>
        <v>46759</v>
      </c>
      <c r="F43" s="551">
        <f>'Page 3'!H13</f>
        <v>0</v>
      </c>
      <c r="G43" s="551">
        <f>'Page 3'!I13</f>
        <v>0</v>
      </c>
      <c r="H43" s="695">
        <f>'Page 3'!G18</f>
        <v>0</v>
      </c>
      <c r="I43" s="550">
        <f>[1]!SP1000ClassSiteProj</f>
        <v>2700000</v>
      </c>
      <c r="J43" s="552">
        <f>SUM(D43:H43)</f>
        <v>2714030</v>
      </c>
      <c r="K43" s="550">
        <f>[2]!SP1000ClassSiteProj</f>
        <v>3570068</v>
      </c>
      <c r="L43" s="553">
        <f t="shared" si="4"/>
        <v>-0.23980000000000001</v>
      </c>
      <c r="M43" s="98" t="s">
        <v>138</v>
      </c>
    </row>
    <row r="44" spans="1:13" ht="12" customHeight="1" x14ac:dyDescent="0.2">
      <c r="A44" s="99" t="s">
        <v>139</v>
      </c>
      <c r="B44" s="100"/>
      <c r="C44" s="101" t="s">
        <v>140</v>
      </c>
      <c r="D44" s="102"/>
      <c r="E44" s="102"/>
      <c r="F44" s="102"/>
      <c r="G44" s="102"/>
      <c r="H44" s="102"/>
      <c r="I44" s="550">
        <f>[1]!SP1000InstrImpProj</f>
        <v>160000</v>
      </c>
      <c r="J44" s="552">
        <f>SUMIFS('Accounting data'!$G$2:$G$37002,'Accounting data'!$H$2:$H$37002,"1020*",'Accounting data'!$K$2:$K$37002,"6*")</f>
        <v>290819</v>
      </c>
      <c r="K44" s="550">
        <f>[2]!SP1000InstrImpProj</f>
        <v>218576</v>
      </c>
      <c r="L44" s="553">
        <f t="shared" si="4"/>
        <v>0.33050000000000002</v>
      </c>
      <c r="M44" s="98" t="s">
        <v>140</v>
      </c>
    </row>
    <row r="45" spans="1:13" ht="12" customHeight="1" x14ac:dyDescent="0.2">
      <c r="A45" s="99" t="s">
        <v>141</v>
      </c>
      <c r="B45" s="100"/>
      <c r="C45" s="101" t="s">
        <v>142</v>
      </c>
      <c r="D45" s="551">
        <f>TotalSEIP6100</f>
        <v>0</v>
      </c>
      <c r="E45" s="551">
        <f>TotalSEIP6200</f>
        <v>0</v>
      </c>
      <c r="F45" s="551">
        <f>TotalSEIP630064006500</f>
        <v>0</v>
      </c>
      <c r="G45" s="551">
        <f>TotalSEIP6600</f>
        <v>0</v>
      </c>
      <c r="H45" s="551">
        <f>TotalSEIP6800</f>
        <v>0</v>
      </c>
      <c r="I45" s="550">
        <f>[1]!SP1000StruEngImmProj</f>
        <v>0</v>
      </c>
      <c r="J45" s="552">
        <f>SUM(D45:H45)</f>
        <v>0</v>
      </c>
      <c r="K45" s="550">
        <f>[2]!SP1000StruEngImmProj</f>
        <v>0</v>
      </c>
      <c r="L45" s="553">
        <f t="shared" si="4"/>
        <v>0</v>
      </c>
      <c r="M45" s="98" t="s">
        <v>142</v>
      </c>
    </row>
    <row r="46" spans="1:13" ht="12" customHeight="1" x14ac:dyDescent="0.2">
      <c r="A46" s="99" t="s">
        <v>143</v>
      </c>
      <c r="B46" s="100"/>
      <c r="C46" s="101" t="s">
        <v>144</v>
      </c>
      <c r="D46" s="551">
        <f>TotalCIP6100</f>
        <v>0</v>
      </c>
      <c r="E46" s="551">
        <f>TotalCIP6200</f>
        <v>0</v>
      </c>
      <c r="F46" s="551">
        <f>TotalCIP630064006500</f>
        <v>0</v>
      </c>
      <c r="G46" s="551">
        <f>TotalCIP6600</f>
        <v>0</v>
      </c>
      <c r="H46" s="551">
        <f>TotalCIP6800</f>
        <v>0</v>
      </c>
      <c r="I46" s="550">
        <f>[1]!SP1000CompInstrProj</f>
        <v>0</v>
      </c>
      <c r="J46" s="552">
        <f>SUM(D46:H46)</f>
        <v>0</v>
      </c>
      <c r="K46" s="550">
        <f>[2]!SP1000CompInstrProj</f>
        <v>0</v>
      </c>
      <c r="L46" s="553">
        <f t="shared" si="4"/>
        <v>0</v>
      </c>
      <c r="M46" s="98" t="s">
        <v>144</v>
      </c>
    </row>
    <row r="47" spans="1:13" ht="12" customHeight="1" x14ac:dyDescent="0.2">
      <c r="A47" s="212" t="s">
        <v>1153</v>
      </c>
      <c r="B47" s="103"/>
      <c r="C47" s="101" t="s">
        <v>145</v>
      </c>
      <c r="D47" s="104"/>
      <c r="E47" s="104"/>
      <c r="F47" s="104"/>
      <c r="G47" s="104"/>
      <c r="H47" s="104"/>
      <c r="I47" s="550">
        <f>[1]!SP1000FedStProj</f>
        <v>0</v>
      </c>
      <c r="J47" s="552">
        <f>ActualTotalFederalAndStateProjects</f>
        <v>2232</v>
      </c>
      <c r="K47" s="550">
        <f>[2]!SP1000FedStProj</f>
        <v>5100</v>
      </c>
      <c r="L47" s="553">
        <f t="shared" si="4"/>
        <v>-0.56240000000000001</v>
      </c>
      <c r="M47" s="98" t="s">
        <v>145</v>
      </c>
    </row>
    <row r="48" spans="1:13" ht="12" customHeight="1" x14ac:dyDescent="0.2">
      <c r="A48" s="99" t="s">
        <v>146</v>
      </c>
      <c r="B48" s="100"/>
      <c r="C48" s="101" t="s">
        <v>147</v>
      </c>
      <c r="D48" s="104"/>
      <c r="E48" s="104"/>
      <c r="F48" s="104"/>
      <c r="G48" s="104"/>
      <c r="H48" s="104"/>
      <c r="I48" s="552">
        <f>SUM(I42:I47)</f>
        <v>29459725</v>
      </c>
      <c r="J48" s="552">
        <f>SUM(J42:J47)</f>
        <v>32398642</v>
      </c>
      <c r="K48" s="552">
        <f>SUM(K42:K47)</f>
        <v>30783375</v>
      </c>
      <c r="L48" s="553">
        <f t="shared" si="4"/>
        <v>5.2499999999999998E-2</v>
      </c>
      <c r="M48" s="98" t="s">
        <v>147</v>
      </c>
    </row>
  </sheetData>
  <sheetProtection sheet="1" formatCells="0" formatColumns="0" formatRows="0"/>
  <mergeCells count="11">
    <mergeCell ref="B1:C1"/>
    <mergeCell ref="L3:L5"/>
    <mergeCell ref="I3:K3"/>
    <mergeCell ref="I21:I22"/>
    <mergeCell ref="N10:AF10"/>
    <mergeCell ref="N9:AF9"/>
    <mergeCell ref="L6:L7"/>
    <mergeCell ref="L8:L9"/>
    <mergeCell ref="L26:L27"/>
    <mergeCell ref="L24:L25"/>
    <mergeCell ref="L21:L22"/>
  </mergeCells>
  <conditionalFormatting sqref="J10">
    <cfRule type="expression" dxfId="80" priority="1" stopIfTrue="1">
      <formula>$N$10&lt;&gt;""</formula>
    </cfRule>
  </conditionalFormatting>
  <conditionalFormatting sqref="N9:AF9">
    <cfRule type="expression" dxfId="79" priority="11" stopIfTrue="1">
      <formula>$N$9&lt;&gt;""</formula>
    </cfRule>
  </conditionalFormatting>
  <conditionalFormatting sqref="N10:AF10">
    <cfRule type="expression" dxfId="78" priority="10" stopIfTrue="1">
      <formula>$N$10&lt;&gt;""</formula>
    </cfRule>
  </conditionalFormatting>
  <hyperlinks>
    <hyperlink ref="A4" location="ExpensesPage2" display="Expenses"/>
    <hyperlink ref="A47:B47" location="FederalAndStateProjectsPage2" display="Federal and State Projects (from page 9, line 30)"/>
    <hyperlink ref="B3" location="ExpensesPage2" display="Instructions"/>
  </hyperlinks>
  <pageMargins left="0.7" right="0.7" top="0.75" bottom="0.75" header="0.3" footer="0.3"/>
  <pageSetup paperSize="5" scale="91" orientation="landscape" r:id="rId1"/>
  <headerFooter>
    <oddFooter>&amp;LRev. 8/25 Arizona Department of Education and Auditor General&amp;CFY 2025
No assurance provided.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31"/>
  <sheetViews>
    <sheetView showGridLines="0" workbookViewId="0">
      <selection activeCell="Q34" sqref="Q33:R34"/>
    </sheetView>
  </sheetViews>
  <sheetFormatPr defaultColWidth="9.33203125" defaultRowHeight="12.75" x14ac:dyDescent="0.2"/>
  <cols>
    <col min="1" max="1" width="1.83203125" customWidth="1"/>
    <col min="2" max="2" width="2" customWidth="1"/>
    <col min="3" max="3" width="25.83203125" customWidth="1"/>
    <col min="4" max="4" width="17.1640625" customWidth="1"/>
    <col min="5" max="5" width="4.33203125" customWidth="1"/>
    <col min="6" max="6" width="19.83203125" customWidth="1"/>
    <col min="7" max="12" width="16" customWidth="1"/>
    <col min="13" max="13" width="79.6640625" customWidth="1"/>
    <col min="15" max="15" width="8.83203125" customWidth="1"/>
  </cols>
  <sheetData>
    <row r="1" spans="1:13" x14ac:dyDescent="0.2">
      <c r="A1" s="549" t="s">
        <v>0</v>
      </c>
      <c r="D1" s="1" t="str">
        <f>'Cover Page'!D1</f>
        <v>Eduprize Schools LLC</v>
      </c>
      <c r="E1" s="567"/>
      <c r="F1" s="62" t="s">
        <v>148</v>
      </c>
      <c r="G1" s="1" t="str">
        <f>'Cover Page'!M1</f>
        <v>Pinal</v>
      </c>
      <c r="H1" s="4"/>
      <c r="I1" s="62" t="s">
        <v>2</v>
      </c>
      <c r="J1" s="2" t="str">
        <f>'Cover Page'!R1</f>
        <v>078687000</v>
      </c>
    </row>
    <row r="4" spans="1:13" x14ac:dyDescent="0.2">
      <c r="A4" s="76"/>
      <c r="B4" s="112"/>
      <c r="C4" s="113"/>
      <c r="D4" s="113"/>
      <c r="E4" s="114"/>
      <c r="F4" s="74"/>
      <c r="G4" s="570" t="s">
        <v>149</v>
      </c>
      <c r="H4" s="570" t="s">
        <v>150</v>
      </c>
      <c r="I4" s="83"/>
      <c r="J4" s="822" t="s">
        <v>87</v>
      </c>
      <c r="K4" s="823"/>
      <c r="L4" s="115"/>
    </row>
    <row r="5" spans="1:13" x14ac:dyDescent="0.2">
      <c r="A5" s="116" t="s">
        <v>89</v>
      </c>
      <c r="C5" s="117"/>
      <c r="D5" s="117"/>
      <c r="E5" s="118"/>
      <c r="F5" s="81" t="s">
        <v>90</v>
      </c>
      <c r="G5" s="79" t="s">
        <v>91</v>
      </c>
      <c r="H5" s="81" t="s">
        <v>92</v>
      </c>
      <c r="I5" s="119" t="s">
        <v>93</v>
      </c>
      <c r="J5" s="81"/>
      <c r="K5" s="81"/>
      <c r="L5" s="120"/>
    </row>
    <row r="6" spans="1:13" x14ac:dyDescent="0.2">
      <c r="A6" s="93"/>
      <c r="B6" s="6"/>
      <c r="C6" s="121"/>
      <c r="D6" s="121"/>
      <c r="E6" s="122"/>
      <c r="F6" s="86">
        <v>6100</v>
      </c>
      <c r="G6" s="575">
        <v>6200</v>
      </c>
      <c r="H6" s="86" t="s">
        <v>97</v>
      </c>
      <c r="I6" s="86">
        <v>6600</v>
      </c>
      <c r="J6" s="86" t="s">
        <v>98</v>
      </c>
      <c r="K6" s="86" t="s">
        <v>23</v>
      </c>
      <c r="L6" s="120"/>
    </row>
    <row r="7" spans="1:13" x14ac:dyDescent="0.2">
      <c r="A7" s="559" t="s">
        <v>151</v>
      </c>
      <c r="B7" s="560"/>
      <c r="C7" s="560"/>
      <c r="D7" s="560"/>
      <c r="E7" s="123"/>
      <c r="F7" s="83"/>
      <c r="G7" s="83"/>
      <c r="H7" s="83"/>
      <c r="I7" s="83"/>
      <c r="J7" s="83"/>
      <c r="K7" s="83"/>
      <c r="L7" s="89"/>
    </row>
    <row r="8" spans="1:13" x14ac:dyDescent="0.2">
      <c r="A8" s="124"/>
      <c r="B8" s="117"/>
      <c r="C8" t="s">
        <v>152</v>
      </c>
      <c r="D8" s="117"/>
      <c r="E8" s="125" t="s">
        <v>24</v>
      </c>
      <c r="F8" s="557">
        <f>SUMIFS('Accounting data'!$G$2:$G$37002,'Accounting data'!$H$2:$H$37002,"1010*",'Accounting data'!$J$2:$J$37002,"1*",'Accounting data'!$K$2:$K$37002,"61*")</f>
        <v>2627253</v>
      </c>
      <c r="G8" s="557">
        <f>SUMIFS('Accounting data'!$G$2:$G$37002,'Accounting data'!$H$2:$H$37002,"1010*",'Accounting data'!$J$2:$J$37002,"1*",'Accounting data'!$K$2:$K$37002,"62*")</f>
        <v>46480</v>
      </c>
      <c r="H8" s="557">
        <f>SUMIFS('Accounting data'!$G$2:$G$37002,'Accounting data'!$H$2:$H$37002,"1010*",'Accounting data'!$J$2:$J$37002,"1*",'Accounting data'!$K$2:$K$37002,"63*")</f>
        <v>0</v>
      </c>
      <c r="I8" s="557">
        <f>SUMIFS('Accounting data'!$G$2:$G$37002,'Accounting data'!$H$2:$H$37002,"1010*",'Accounting data'!$J$2:$J$37002,"1*",'Accounting data'!$K$2:$K$37002,"66*")</f>
        <v>0</v>
      </c>
      <c r="J8" s="556">
        <f t="array" ref="J8">[1]!_CSP1000</f>
        <v>2575000</v>
      </c>
      <c r="K8" s="557">
        <f>SUM(F8:I8)</f>
        <v>2673733</v>
      </c>
      <c r="L8" s="89"/>
    </row>
    <row r="9" spans="1:13" x14ac:dyDescent="0.2">
      <c r="A9" s="124"/>
      <c r="B9" s="117"/>
      <c r="C9" t="s">
        <v>153</v>
      </c>
      <c r="D9" s="117"/>
      <c r="E9" s="125" t="s">
        <v>26</v>
      </c>
      <c r="F9" s="552">
        <f>SUMIFS('Accounting data'!$G$2:$G$37002,'Accounting data'!$H$2:$H$37002,"1010*",'Accounting data'!$J$2:$J$37002,"21*",'Accounting data'!$K$2:$K$37002,"61*")</f>
        <v>0</v>
      </c>
      <c r="G9" s="552">
        <f>SUMIFS('Accounting data'!$G$2:$G$37002,'Accounting data'!$H$2:$H$37002,"1010*",'Accounting data'!$J$2:$J$37002,"21*",'Accounting data'!$K$2:$K$37002,"62*")</f>
        <v>0</v>
      </c>
      <c r="H9" s="552">
        <f>SUMIFS('Accounting data'!$G$2:$G$37002,'Accounting data'!$H$2:$H$37002,"1010*",'Accounting data'!$J$2:$J$37002,"21*",'Accounting data'!$K$2:$K$37002,"63*")</f>
        <v>0</v>
      </c>
      <c r="I9" s="552">
        <f>SUMIFS('Accounting data'!$G$2:$G$37002,'Accounting data'!$H$2:$H$37002,"1010*",'Accounting data'!$J$2:$J$37002,"21*",'Accounting data'!$K$2:$K$37002,"66*")</f>
        <v>0</v>
      </c>
      <c r="J9" s="550">
        <f t="array" ref="J9">[1]!_CSP2100</f>
        <v>51000</v>
      </c>
      <c r="K9" s="552">
        <f t="shared" ref="K9:K13" si="0">SUM(F9:I9)</f>
        <v>0</v>
      </c>
      <c r="L9" s="89"/>
    </row>
    <row r="10" spans="1:13" x14ac:dyDescent="0.2">
      <c r="A10" s="124"/>
      <c r="B10" s="117"/>
      <c r="C10" t="s">
        <v>154</v>
      </c>
      <c r="D10" s="117"/>
      <c r="E10" s="125" t="s">
        <v>28</v>
      </c>
      <c r="F10" s="552">
        <f>SUMIFS('Accounting data'!$G$2:$G$37002,'Accounting data'!$H$2:$H$37002,"1010*",'Accounting data'!$J$2:$J$37002,"22*",'Accounting data'!$K$2:$K$37002,"61*")</f>
        <v>40018</v>
      </c>
      <c r="G10" s="552">
        <f>SUMIFS('Accounting data'!$G$2:$G$37002,'Accounting data'!$H$2:$H$37002,"1010*",'Accounting data'!$J$2:$J$37002,"22*",'Accounting data'!$K$2:$K$37002,"62*")</f>
        <v>279</v>
      </c>
      <c r="H10" s="552">
        <f>SUMIFS('Accounting data'!$G$2:$G$37002,'Accounting data'!$H$2:$H$37002,"1010*",'Accounting data'!$J$2:$J$37002,"22*",'Accounting data'!$K$2:$K$37002,"63*")</f>
        <v>0</v>
      </c>
      <c r="I10" s="552">
        <f>SUMIFS('Accounting data'!$G$2:$G$37002,'Accounting data'!$H$2:$H$37002,"1010*",'Accounting data'!$J$2:$J$37002,"22*",'Accounting data'!$K$2:$K$37002,"66*")</f>
        <v>0</v>
      </c>
      <c r="J10" s="550">
        <f t="array" ref="J10">[1]!_CSP2200</f>
        <v>74000</v>
      </c>
      <c r="K10" s="552">
        <f t="shared" si="0"/>
        <v>40297</v>
      </c>
      <c r="L10" s="89"/>
    </row>
    <row r="11" spans="1:13" x14ac:dyDescent="0.2">
      <c r="A11" s="124"/>
      <c r="B11" s="117"/>
      <c r="C11" s="212" t="s">
        <v>155</v>
      </c>
      <c r="D11" s="126"/>
      <c r="E11" s="125" t="s">
        <v>31</v>
      </c>
      <c r="F11" s="104"/>
      <c r="G11" s="104"/>
      <c r="H11" s="552">
        <f>SUMIFS('Accounting data'!$G$2:$G$37002,'Accounting data'!$H$2:$H$37002,"1010*",'Accounting data'!$J$2:$J$37002,"23*",'Accounting data'!$K$2:$K$37002,"63*")</f>
        <v>0</v>
      </c>
      <c r="I11" s="104"/>
      <c r="J11" s="550">
        <f t="array" ref="J11">[1]!_CSP2300</f>
        <v>0</v>
      </c>
      <c r="K11" s="552">
        <f t="shared" si="0"/>
        <v>0</v>
      </c>
      <c r="L11" s="89"/>
    </row>
    <row r="12" spans="1:13" ht="12.75" customHeight="1" x14ac:dyDescent="0.2">
      <c r="A12" s="127"/>
      <c r="B12" s="121"/>
      <c r="C12" s="653" t="s">
        <v>156</v>
      </c>
      <c r="D12" s="128"/>
      <c r="E12" s="129" t="s">
        <v>33</v>
      </c>
      <c r="F12" s="552">
        <f>SUMIFS('Accounting data'!$G$2:$G$37002,'Accounting data'!$H$2:$H$37002,"1010*",'Accounting data'!$J$2:$J$37002,"33*",'Accounting data'!$K$2:$K$37002,"61*")</f>
        <v>0</v>
      </c>
      <c r="G12" s="552">
        <f>SUMIFS('Accounting data'!$G$2:$G$37002,'Accounting data'!$H$2:$H$37002,"1010*",'Accounting data'!$J$2:$J$37002,"33*",'Accounting data'!$K$2:$K$37002,"62*")</f>
        <v>0</v>
      </c>
      <c r="H12" s="552">
        <f>SUMIFS('Accounting data'!$G$2:$G$37002,'Accounting data'!$H$2:$H$37002,"1010*",'Accounting data'!$J$2:$J$37002,"33*",'Accounting data'!$K$2:$K$37002,"63*")</f>
        <v>0</v>
      </c>
      <c r="I12" s="104"/>
      <c r="J12" s="550">
        <f t="array" ref="J12">[1]!_CSP3300</f>
        <v>0</v>
      </c>
      <c r="K12" s="552">
        <f t="shared" si="0"/>
        <v>0</v>
      </c>
      <c r="L12" s="89"/>
      <c r="M12" s="824" t="str">
        <f>IF('Page 2'!J48=0,"",IF(OR(K13&lt;=0),"The Charter did not report any expenses for Classroom Site Project. If the Charter did not have any expense, verify by checking the box in A14 on the Cover Page.",""))</f>
        <v/>
      </c>
    </row>
    <row r="13" spans="1:13" ht="12" customHeight="1" x14ac:dyDescent="0.2">
      <c r="A13" s="93" t="s">
        <v>157</v>
      </c>
      <c r="B13" s="121"/>
      <c r="C13" s="6"/>
      <c r="D13" s="121"/>
      <c r="E13" s="129" t="s">
        <v>35</v>
      </c>
      <c r="F13" s="552">
        <f>SUM(F8:F12)</f>
        <v>2667271</v>
      </c>
      <c r="G13" s="552">
        <f>SUM(G8:G12)</f>
        <v>46759</v>
      </c>
      <c r="H13" s="552">
        <f>SUM(H8:H12)</f>
        <v>0</v>
      </c>
      <c r="I13" s="552">
        <f>SUM(I8:I12)</f>
        <v>0</v>
      </c>
      <c r="J13" s="552">
        <f>SUM(J8:J12)</f>
        <v>2700000</v>
      </c>
      <c r="K13" s="552">
        <f t="shared" si="0"/>
        <v>2714030</v>
      </c>
      <c r="L13" s="89"/>
      <c r="M13" s="824"/>
    </row>
    <row r="16" spans="1:13" ht="16.5" customHeight="1" x14ac:dyDescent="0.2">
      <c r="A16" s="559" t="s">
        <v>158</v>
      </c>
      <c r="B16" s="559"/>
      <c r="C16" s="560"/>
      <c r="D16" s="559"/>
      <c r="E16" s="130"/>
      <c r="F16" s="131" t="s">
        <v>98</v>
      </c>
      <c r="G16" s="581" t="s">
        <v>23</v>
      </c>
    </row>
    <row r="17" spans="1:27" x14ac:dyDescent="0.2">
      <c r="A17" s="71"/>
      <c r="B17" s="132"/>
      <c r="C17" s="72" t="s">
        <v>159</v>
      </c>
      <c r="D17" s="132"/>
      <c r="E17" s="133" t="s">
        <v>36</v>
      </c>
      <c r="F17" s="552">
        <f>'[1]Page 3'!$F$17</f>
        <v>0</v>
      </c>
      <c r="G17" s="105">
        <v>0</v>
      </c>
    </row>
    <row r="18" spans="1:27" ht="15" x14ac:dyDescent="0.2">
      <c r="A18" s="89"/>
      <c r="B18" s="548"/>
      <c r="C18" t="s">
        <v>160</v>
      </c>
      <c r="D18" s="548"/>
      <c r="E18" s="65" t="s">
        <v>38</v>
      </c>
      <c r="F18" s="552">
        <f>'[1]Page 3'!$F$18</f>
        <v>0</v>
      </c>
      <c r="G18" s="551">
        <f>SUMIFS('Accounting data'!$G$2:$G$37002,'Accounting data'!$H$2:$H$37002,"1010*",'Accounting data'!$K$2:$K$37002,"685*")</f>
        <v>0</v>
      </c>
      <c r="AA18" s="134" t="str">
        <f>IF(OR(F17="",F18="",F19=""),"yes","")</f>
        <v/>
      </c>
    </row>
    <row r="19" spans="1:27" x14ac:dyDescent="0.2">
      <c r="A19" s="93"/>
      <c r="B19" s="135"/>
      <c r="C19" s="6" t="s">
        <v>161</v>
      </c>
      <c r="D19" s="135"/>
      <c r="E19" s="136" t="s">
        <v>40</v>
      </c>
      <c r="F19" s="552">
        <f>'[1]Page 3'!$F$19</f>
        <v>0</v>
      </c>
      <c r="G19" s="105">
        <v>0</v>
      </c>
    </row>
    <row r="21" spans="1:27" x14ac:dyDescent="0.2">
      <c r="D21" s="6"/>
      <c r="E21" s="137"/>
      <c r="F21" s="6"/>
    </row>
    <row r="22" spans="1:27" x14ac:dyDescent="0.2">
      <c r="A22" s="138"/>
      <c r="B22" s="139"/>
      <c r="C22" s="139"/>
      <c r="D22" s="139"/>
      <c r="E22" s="139"/>
      <c r="F22" s="74" t="s">
        <v>162</v>
      </c>
    </row>
    <row r="23" spans="1:27" x14ac:dyDescent="0.2">
      <c r="A23" s="140" t="s">
        <v>163</v>
      </c>
      <c r="B23" s="141"/>
      <c r="C23" s="141"/>
      <c r="D23" s="142"/>
      <c r="E23" s="137"/>
      <c r="F23" s="86">
        <v>1010</v>
      </c>
    </row>
    <row r="24" spans="1:27" x14ac:dyDescent="0.2">
      <c r="A24" s="71" t="s">
        <v>164</v>
      </c>
      <c r="B24" s="72"/>
      <c r="C24" s="72"/>
      <c r="D24" s="132"/>
      <c r="E24" s="661" t="s">
        <v>42</v>
      </c>
      <c r="F24" s="550">
        <f>'[2]Page 3'!$F$30</f>
        <v>2</v>
      </c>
    </row>
    <row r="25" spans="1:27" x14ac:dyDescent="0.2">
      <c r="A25" s="212" t="s">
        <v>1254</v>
      </c>
      <c r="B25" s="212"/>
      <c r="C25" s="212"/>
      <c r="D25" s="117"/>
      <c r="E25" s="65" t="s">
        <v>44</v>
      </c>
      <c r="F25" s="54">
        <v>2</v>
      </c>
    </row>
    <row r="26" spans="1:27" x14ac:dyDescent="0.2">
      <c r="A26" s="89"/>
      <c r="B26" t="s">
        <v>165</v>
      </c>
      <c r="D26" s="117"/>
      <c r="E26" s="661" t="s">
        <v>45</v>
      </c>
      <c r="F26" s="552">
        <f>-(SUMIFS('Accounting data'!$G$2:$G$37002,'Accounting data'!$H$2:$H$37002,"1010*",'Accounting data'!$K$2:$K$37002,"3*"))</f>
        <v>2714030</v>
      </c>
    </row>
    <row r="27" spans="1:27" x14ac:dyDescent="0.2">
      <c r="A27" s="89"/>
      <c r="B27" t="s">
        <v>166</v>
      </c>
      <c r="D27" s="117"/>
      <c r="E27" s="661" t="s">
        <v>47</v>
      </c>
      <c r="F27" s="552">
        <f>-(SUMIFS('Accounting data'!$G$2:$G$37002,'Accounting data'!$H$2:$H$37002,"1010*",'Accounting data'!$K$2:$K$37002,"15*"))</f>
        <v>0</v>
      </c>
    </row>
    <row r="28" spans="1:27" x14ac:dyDescent="0.2">
      <c r="A28" s="89" t="s">
        <v>1304</v>
      </c>
      <c r="D28" s="117"/>
      <c r="E28" s="661" t="s">
        <v>49</v>
      </c>
      <c r="F28" s="552">
        <f>F26+F27</f>
        <v>2714030</v>
      </c>
    </row>
    <row r="29" spans="1:27" x14ac:dyDescent="0.2">
      <c r="A29" s="89" t="s">
        <v>1305</v>
      </c>
      <c r="D29" s="117"/>
      <c r="E29" s="661" t="s">
        <v>51</v>
      </c>
      <c r="F29" s="552">
        <f>IF(F25="",F24,F25)+F28</f>
        <v>2714032</v>
      </c>
    </row>
    <row r="30" spans="1:27" x14ac:dyDescent="0.2">
      <c r="A30" s="89" t="s">
        <v>1306</v>
      </c>
      <c r="D30" s="117"/>
      <c r="E30" s="661" t="s">
        <v>53</v>
      </c>
      <c r="F30" s="552">
        <f>K13+G17+G18+G19</f>
        <v>2714030</v>
      </c>
    </row>
    <row r="31" spans="1:27" x14ac:dyDescent="0.2">
      <c r="A31" s="93" t="s">
        <v>1307</v>
      </c>
      <c r="B31" s="6"/>
      <c r="C31" s="6"/>
      <c r="D31" s="121"/>
      <c r="E31" s="674" t="s">
        <v>55</v>
      </c>
      <c r="F31" s="600">
        <f>F29-F30</f>
        <v>2</v>
      </c>
    </row>
  </sheetData>
  <sheetProtection sheet="1" objects="1" scenarios="1"/>
  <mergeCells count="2">
    <mergeCell ref="J4:K4"/>
    <mergeCell ref="M12:M13"/>
  </mergeCells>
  <conditionalFormatting sqref="F25">
    <cfRule type="containsBlanks" dxfId="77" priority="1">
      <formula>LEN(TRIM(F25))=0</formula>
    </cfRule>
  </conditionalFormatting>
  <conditionalFormatting sqref="F13:I13">
    <cfRule type="expression" dxfId="76" priority="5" stopIfTrue="1">
      <formula>$M$12&lt;&gt;""</formula>
    </cfRule>
  </conditionalFormatting>
  <conditionalFormatting sqref="G17">
    <cfRule type="containsBlanks" dxfId="75" priority="3">
      <formula>LEN(TRIM(G17))=0</formula>
    </cfRule>
  </conditionalFormatting>
  <conditionalFormatting sqref="G19">
    <cfRule type="containsBlanks" dxfId="74" priority="2">
      <formula>LEN(TRIM(G19))=0</formula>
    </cfRule>
  </conditionalFormatting>
  <conditionalFormatting sqref="K13">
    <cfRule type="expression" dxfId="73" priority="4" stopIfTrue="1">
      <formula>$M$12&lt;&gt;""</formula>
    </cfRule>
  </conditionalFormatting>
  <conditionalFormatting sqref="M12">
    <cfRule type="expression" dxfId="72" priority="9" stopIfTrue="1">
      <formula>$M$12&lt;&gt;""</formula>
    </cfRule>
  </conditionalFormatting>
  <hyperlinks>
    <hyperlink ref="A7:C7" location="ClssrmSitepg3" display="Classroom Site Project 1010"/>
    <hyperlink ref="C11" location="CSPlines4914" display="2300 Support services—general administration"/>
    <hyperlink ref="C12" location="CSPlines122615" display="3300 Community services operation"/>
    <hyperlink ref="A16:D16" location="CSPPropertyPayments" display="Classroom Site Project 1010 property payments"/>
    <hyperlink ref="A25:C25" location="Page3AdjBeginProjBal" display="Adjusted beginning project balance"/>
  </hyperlinks>
  <pageMargins left="0.7" right="0.7" top="0.75" bottom="0.75" header="0.3" footer="0.3"/>
  <pageSetup paperSize="5" orientation="landscape" r:id="rId1"/>
  <headerFooter>
    <oddFooter>&amp;LRev. 8/25 Arizona Department of Education and Auditor General&amp;CFY 2025
No assurance provided.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0"/>
  <sheetViews>
    <sheetView showGridLines="0" topLeftCell="A4" workbookViewId="0">
      <selection activeCell="Q34" sqref="Q33:R34"/>
    </sheetView>
  </sheetViews>
  <sheetFormatPr defaultColWidth="8.83203125" defaultRowHeight="12.75" x14ac:dyDescent="0.2"/>
  <cols>
    <col min="1" max="1" width="1.83203125" customWidth="1"/>
    <col min="2" max="2" width="20.33203125" customWidth="1"/>
    <col min="3" max="3" width="15.33203125" customWidth="1"/>
    <col min="4" max="4" width="20" customWidth="1"/>
    <col min="5" max="5" width="5.1640625" customWidth="1"/>
    <col min="6" max="9" width="15.33203125" customWidth="1"/>
    <col min="10" max="10" width="2.6640625" bestFit="1" customWidth="1"/>
    <col min="11" max="13" width="15.33203125" customWidth="1"/>
    <col min="14" max="15" width="8.83203125" customWidth="1"/>
    <col min="16" max="24" width="8.83203125" hidden="1" customWidth="1"/>
    <col min="25" max="25" width="8.83203125" customWidth="1"/>
    <col min="26" max="26" width="20.1640625" customWidth="1"/>
    <col min="27" max="27" width="8.83203125" customWidth="1"/>
  </cols>
  <sheetData>
    <row r="1" spans="1:27" ht="12.75" customHeight="1" x14ac:dyDescent="0.2">
      <c r="A1" s="549" t="s">
        <v>0</v>
      </c>
      <c r="C1" s="806" t="str">
        <f>'Cover Page'!D1</f>
        <v>Eduprize Schools LLC</v>
      </c>
      <c r="D1" s="806"/>
      <c r="F1" s="4"/>
      <c r="G1" s="62" t="s">
        <v>1</v>
      </c>
      <c r="H1" s="806" t="str">
        <f>'Cover Page'!M1</f>
        <v>Pinal</v>
      </c>
      <c r="I1" s="806"/>
      <c r="J1" s="4"/>
      <c r="K1" s="62"/>
      <c r="L1" s="62" t="s">
        <v>2</v>
      </c>
      <c r="M1" s="2" t="str">
        <f>'Cover Page'!R1</f>
        <v>078687000</v>
      </c>
    </row>
    <row r="2" spans="1:27" ht="12.75" customHeight="1" x14ac:dyDescent="0.2">
      <c r="A2" s="4"/>
      <c r="B2" s="4"/>
      <c r="C2" s="4"/>
      <c r="D2" s="4"/>
      <c r="E2" s="4"/>
      <c r="F2" s="4"/>
      <c r="G2" s="4"/>
      <c r="H2" s="4"/>
      <c r="I2" s="4"/>
      <c r="J2" s="4"/>
    </row>
    <row r="3" spans="1:27" ht="12.75" customHeight="1" x14ac:dyDescent="0.2">
      <c r="A3" s="143"/>
      <c r="B3" s="72"/>
      <c r="C3" s="72"/>
      <c r="D3" s="72"/>
      <c r="E3" s="72"/>
      <c r="F3" s="143" t="s">
        <v>20</v>
      </c>
      <c r="G3" s="570" t="s">
        <v>167</v>
      </c>
      <c r="H3" s="822" t="s">
        <v>87</v>
      </c>
      <c r="I3" s="823"/>
      <c r="J3" s="4"/>
    </row>
    <row r="4" spans="1:27" ht="12.75" customHeight="1" x14ac:dyDescent="0.2">
      <c r="A4" s="116" t="s">
        <v>89</v>
      </c>
      <c r="F4" s="79" t="s">
        <v>168</v>
      </c>
      <c r="G4" s="81" t="s">
        <v>92</v>
      </c>
      <c r="H4" s="570"/>
      <c r="I4" s="144"/>
      <c r="J4" s="4"/>
    </row>
    <row r="5" spans="1:27" ht="12.75" customHeight="1" x14ac:dyDescent="0.2">
      <c r="A5" s="93"/>
      <c r="B5" s="6"/>
      <c r="C5" s="6"/>
      <c r="D5" s="6"/>
      <c r="E5" s="6"/>
      <c r="F5" s="79">
        <v>1000</v>
      </c>
      <c r="G5" s="81">
        <v>2000</v>
      </c>
      <c r="H5" s="86" t="s">
        <v>98</v>
      </c>
      <c r="I5" s="576" t="s">
        <v>23</v>
      </c>
      <c r="J5" s="4"/>
    </row>
    <row r="6" spans="1:27" ht="12.75" customHeight="1" x14ac:dyDescent="0.2">
      <c r="A6" s="87" t="s">
        <v>169</v>
      </c>
      <c r="B6" s="72"/>
      <c r="C6" s="72"/>
      <c r="D6" s="72"/>
      <c r="E6" s="145"/>
      <c r="F6" s="146"/>
      <c r="G6" s="146"/>
      <c r="H6" s="146"/>
      <c r="I6" s="146"/>
      <c r="J6" s="147"/>
    </row>
    <row r="7" spans="1:27" ht="12.75" customHeight="1" x14ac:dyDescent="0.2">
      <c r="A7" s="89"/>
      <c r="B7" t="s">
        <v>170</v>
      </c>
      <c r="E7" s="148">
        <v>1</v>
      </c>
      <c r="F7" s="53">
        <v>43827</v>
      </c>
      <c r="G7" s="53">
        <v>0</v>
      </c>
      <c r="H7" s="557">
        <f>[1]!IIPTeacherCompensationIncreases</f>
        <v>60000</v>
      </c>
      <c r="I7" s="557">
        <f>SUM(F7:G7)</f>
        <v>43827</v>
      </c>
      <c r="J7" s="149">
        <v>1</v>
      </c>
      <c r="AA7" s="51" t="str">
        <f>IF(OR(F7="",F8="",F9="",F10="",G7="",G9="",G10="",G24="",G25="",G26="",G27="",G28=""),"yes","")</f>
        <v/>
      </c>
    </row>
    <row r="8" spans="1:27" ht="12.75" customHeight="1" x14ac:dyDescent="0.2">
      <c r="A8" s="89"/>
      <c r="B8" t="s">
        <v>171</v>
      </c>
      <c r="E8" s="150">
        <v>2</v>
      </c>
      <c r="F8" s="53">
        <v>0</v>
      </c>
      <c r="G8" s="151"/>
      <c r="H8" s="550">
        <f>[1]!IIPClassSizeReduction</f>
        <v>0</v>
      </c>
      <c r="I8" s="552">
        <f>SUM(F8:G8)</f>
        <v>0</v>
      </c>
      <c r="J8" s="149">
        <v>2</v>
      </c>
    </row>
    <row r="9" spans="1:27" ht="12.75" customHeight="1" x14ac:dyDescent="0.2">
      <c r="A9" s="89"/>
      <c r="B9" t="s">
        <v>172</v>
      </c>
      <c r="E9" s="150">
        <v>3</v>
      </c>
      <c r="F9" s="52">
        <v>0</v>
      </c>
      <c r="G9" s="52">
        <v>0</v>
      </c>
      <c r="H9" s="550">
        <f>[1]!IIPDropoutPreventionPrograms</f>
        <v>0</v>
      </c>
      <c r="I9" s="552">
        <f>SUM(F9:G9)</f>
        <v>0</v>
      </c>
      <c r="J9" s="149">
        <v>3</v>
      </c>
    </row>
    <row r="10" spans="1:27" ht="12.75" customHeight="1" x14ac:dyDescent="0.2">
      <c r="A10" s="89"/>
      <c r="B10" t="s">
        <v>173</v>
      </c>
      <c r="E10" s="150">
        <v>4</v>
      </c>
      <c r="F10" s="52">
        <f>290819-43827</f>
        <v>246992</v>
      </c>
      <c r="G10" s="52">
        <v>0</v>
      </c>
      <c r="H10" s="550">
        <f>[1]!IIPInstructionalImprovementPrograms</f>
        <v>100000</v>
      </c>
      <c r="I10" s="552">
        <f>SUM(F10:G10)</f>
        <v>246992</v>
      </c>
      <c r="J10" s="149">
        <v>4</v>
      </c>
      <c r="K10" s="801" t="str">
        <f>IF('Page 2'!J48=0,"",IF(('Page 4'!I11=0),"If the Charter did not have any expense, verify by checking the box in A18 on the Cover Page.",""))</f>
        <v/>
      </c>
      <c r="L10" s="801"/>
      <c r="M10" s="801"/>
      <c r="N10" s="801"/>
      <c r="O10" s="801"/>
      <c r="P10" s="801"/>
      <c r="Q10" s="801"/>
      <c r="R10" s="801"/>
      <c r="S10" s="801"/>
      <c r="T10" s="801"/>
      <c r="U10" s="801"/>
      <c r="V10" s="801"/>
      <c r="W10" s="801"/>
      <c r="X10" s="801"/>
      <c r="Y10" s="801"/>
      <c r="Z10" s="801"/>
    </row>
    <row r="11" spans="1:27" ht="12.75" customHeight="1" x14ac:dyDescent="0.2">
      <c r="A11" s="93" t="s">
        <v>174</v>
      </c>
      <c r="B11" s="6"/>
      <c r="C11" s="6"/>
      <c r="D11" s="6"/>
      <c r="E11" s="152">
        <v>5</v>
      </c>
      <c r="F11" s="552">
        <f>SUM(F6:F10)</f>
        <v>290819</v>
      </c>
      <c r="G11" s="552">
        <f>SUM(G6:G10)</f>
        <v>0</v>
      </c>
      <c r="H11" s="552">
        <f>SUM(H7:H10)</f>
        <v>160000</v>
      </c>
      <c r="I11" s="552">
        <f>SUM(I7:I10)</f>
        <v>290819</v>
      </c>
      <c r="J11" s="149">
        <v>5</v>
      </c>
      <c r="K11" s="801" t="str">
        <f>IF('Page 2'!J48=0,"",IF(('Page 4'!I11&lt;&gt;'Page 2'!J44),"Total expenses for Instructional Improvement Project on line 5 should agree to the line 35 on page 2.",""))</f>
        <v/>
      </c>
      <c r="L11" s="801"/>
      <c r="M11" s="801"/>
      <c r="N11" s="801"/>
      <c r="O11" s="801"/>
      <c r="P11" s="801"/>
      <c r="Q11" s="801"/>
      <c r="R11" s="801"/>
      <c r="S11" s="801"/>
      <c r="T11" s="801"/>
      <c r="U11" s="801"/>
      <c r="V11" s="801"/>
      <c r="W11" s="801"/>
      <c r="X11" s="801"/>
      <c r="Y11" s="801"/>
      <c r="Z11" s="801"/>
    </row>
    <row r="12" spans="1:27" ht="12.75" customHeight="1" x14ac:dyDescent="0.2">
      <c r="K12" s="567"/>
    </row>
    <row r="13" spans="1:27" ht="12.75" customHeight="1" x14ac:dyDescent="0.2">
      <c r="A13" s="71"/>
      <c r="B13" s="72"/>
      <c r="C13" s="72"/>
      <c r="D13" s="72"/>
      <c r="E13" s="73"/>
      <c r="F13" s="83"/>
    </row>
    <row r="14" spans="1:27" ht="12.75" customHeight="1" x14ac:dyDescent="0.2">
      <c r="A14" s="84" t="s">
        <v>175</v>
      </c>
      <c r="B14" s="6"/>
      <c r="C14" s="6"/>
      <c r="D14" s="6"/>
      <c r="E14" s="85"/>
      <c r="F14" s="153" t="s">
        <v>23</v>
      </c>
    </row>
    <row r="15" spans="1:27" ht="12.75" customHeight="1" x14ac:dyDescent="0.2">
      <c r="A15" s="89" t="s">
        <v>164</v>
      </c>
      <c r="B15" s="4"/>
      <c r="D15" s="154"/>
      <c r="E15" s="155">
        <v>6</v>
      </c>
      <c r="F15" s="550">
        <f>[2]!AddlInstrImprProjEndBal</f>
        <v>68827</v>
      </c>
      <c r="G15" s="149">
        <v>6</v>
      </c>
      <c r="I15" s="567"/>
      <c r="J15" s="567"/>
    </row>
    <row r="16" spans="1:27" ht="12.75" customHeight="1" x14ac:dyDescent="0.2">
      <c r="A16" s="667" t="s">
        <v>1254</v>
      </c>
      <c r="B16" s="666"/>
      <c r="C16" s="666"/>
      <c r="D16" s="154"/>
      <c r="E16" s="677">
        <v>7</v>
      </c>
      <c r="F16" s="54">
        <v>68827</v>
      </c>
      <c r="G16" s="679">
        <v>7</v>
      </c>
      <c r="I16" s="567"/>
      <c r="J16" s="567"/>
    </row>
    <row r="17" spans="1:12" ht="12.75" customHeight="1" x14ac:dyDescent="0.2">
      <c r="A17" s="156" t="s">
        <v>165</v>
      </c>
      <c r="B17" s="29"/>
      <c r="D17" s="157"/>
      <c r="E17" s="677">
        <v>8</v>
      </c>
      <c r="F17" s="552">
        <f>-(SUMIFS('Accounting data'!$G$2:$G$37002,'Accounting data'!$H$2:$H$37002,"1020*",'Accounting data'!$K$2:$K$37002,"1*")+SUMIFS('Accounting data'!$G$2:$G$37002,'Accounting data'!$H$2:$H$37002,"1020*",'Accounting data'!$K$2:$K$37002,"2*")+SUMIFS('Accounting data'!$G$2:$G$37002,'Accounting data'!$H$2:$H$37002,"1020*",'Accounting data'!$K$2:$K$37002,"3*")+SUMIFS('Accounting data'!$G$2:$G$37002,'Accounting data'!$H$2:$H$37002,"1020*",'Accounting data'!$K$2:$K$37002,"4*")+SUMIFS('Accounting data'!$G$2:$G$37002,'Accounting data'!$H$2:$H$37002,"1020*",'Accounting data'!$K$2:$K$37002,"Other*"))</f>
        <v>221992</v>
      </c>
      <c r="G17" s="679">
        <v>8</v>
      </c>
      <c r="I17" s="567"/>
      <c r="J17" s="567"/>
    </row>
    <row r="18" spans="1:12" ht="12.75" customHeight="1" x14ac:dyDescent="0.2">
      <c r="A18" s="675" t="s">
        <v>1308</v>
      </c>
      <c r="B18" s="29"/>
      <c r="D18" s="157"/>
      <c r="E18" s="677">
        <v>9</v>
      </c>
      <c r="F18" s="552">
        <f>IF(F16="",F15,F16)+F17</f>
        <v>290819</v>
      </c>
      <c r="G18" s="679">
        <v>9</v>
      </c>
      <c r="I18" s="567"/>
      <c r="J18" s="567"/>
    </row>
    <row r="19" spans="1:12" ht="12.75" customHeight="1" x14ac:dyDescent="0.2">
      <c r="A19" s="675" t="s">
        <v>176</v>
      </c>
      <c r="D19" s="157"/>
      <c r="E19" s="677">
        <v>10</v>
      </c>
      <c r="F19" s="552">
        <f>ActualTotalInstImpExp</f>
        <v>290819</v>
      </c>
      <c r="G19" s="679">
        <v>10</v>
      </c>
      <c r="I19" s="567"/>
      <c r="J19" s="567"/>
    </row>
    <row r="20" spans="1:12" ht="12.75" customHeight="1" x14ac:dyDescent="0.2">
      <c r="A20" s="676" t="s">
        <v>1309</v>
      </c>
      <c r="B20" s="6"/>
      <c r="C20" s="6"/>
      <c r="D20" s="158"/>
      <c r="E20" s="678">
        <v>11</v>
      </c>
      <c r="F20" s="600">
        <f>F18-F19</f>
        <v>0</v>
      </c>
      <c r="G20" s="679">
        <v>11</v>
      </c>
    </row>
    <row r="21" spans="1:12" ht="12.75" customHeight="1" x14ac:dyDescent="0.2">
      <c r="A21" s="154"/>
      <c r="D21" s="154"/>
      <c r="E21" s="155"/>
      <c r="F21" s="159"/>
      <c r="G21" s="149"/>
    </row>
    <row r="22" spans="1:12" ht="12.75" customHeight="1" x14ac:dyDescent="0.2">
      <c r="A22" s="71"/>
      <c r="B22" s="72"/>
      <c r="C22" s="72"/>
      <c r="D22" s="160"/>
      <c r="E22" s="161"/>
      <c r="F22" s="162"/>
      <c r="G22" s="162"/>
      <c r="H22" s="149"/>
    </row>
    <row r="23" spans="1:12" ht="12.75" customHeight="1" x14ac:dyDescent="0.2">
      <c r="A23" s="825" t="s">
        <v>177</v>
      </c>
      <c r="B23" s="825"/>
      <c r="C23" s="825"/>
      <c r="D23" s="825"/>
      <c r="E23" s="163"/>
      <c r="F23" s="164" t="s">
        <v>98</v>
      </c>
      <c r="G23" s="164" t="s">
        <v>23</v>
      </c>
      <c r="H23" s="165"/>
    </row>
    <row r="24" spans="1:12" ht="12.75" customHeight="1" x14ac:dyDescent="0.2">
      <c r="A24" s="166"/>
      <c r="B24" s="72" t="s">
        <v>178</v>
      </c>
      <c r="C24" s="72"/>
      <c r="D24" s="167"/>
      <c r="E24" s="168">
        <v>1</v>
      </c>
      <c r="F24" s="169"/>
      <c r="G24" s="54">
        <v>2232</v>
      </c>
      <c r="H24" s="170">
        <v>1</v>
      </c>
    </row>
    <row r="25" spans="1:12" ht="12.75" customHeight="1" x14ac:dyDescent="0.2">
      <c r="A25" s="171"/>
      <c r="B25" t="s">
        <v>179</v>
      </c>
      <c r="D25" s="157"/>
      <c r="E25" s="172">
        <v>2</v>
      </c>
      <c r="F25" s="169"/>
      <c r="G25" s="54">
        <v>0</v>
      </c>
      <c r="H25" s="170">
        <v>2</v>
      </c>
    </row>
    <row r="26" spans="1:12" ht="12.75" customHeight="1" x14ac:dyDescent="0.2">
      <c r="A26" s="171"/>
      <c r="B26" t="s">
        <v>180</v>
      </c>
      <c r="D26" s="157"/>
      <c r="E26" s="172">
        <v>3</v>
      </c>
      <c r="F26" s="169"/>
      <c r="G26" s="54">
        <v>0</v>
      </c>
      <c r="H26" s="170">
        <v>3</v>
      </c>
    </row>
    <row r="27" spans="1:12" ht="12.75" customHeight="1" x14ac:dyDescent="0.2">
      <c r="A27" s="171"/>
      <c r="B27" t="s">
        <v>181</v>
      </c>
      <c r="D27" s="157"/>
      <c r="E27" s="172">
        <v>4</v>
      </c>
      <c r="F27" s="169"/>
      <c r="G27" s="54">
        <v>0</v>
      </c>
      <c r="H27" s="170">
        <v>4</v>
      </c>
    </row>
    <row r="28" spans="1:12" ht="12.75" customHeight="1" x14ac:dyDescent="0.2">
      <c r="A28" s="171"/>
      <c r="B28" t="s">
        <v>182</v>
      </c>
      <c r="D28" s="157"/>
      <c r="E28" s="172">
        <v>5</v>
      </c>
      <c r="F28" s="169"/>
      <c r="G28" s="54">
        <v>0</v>
      </c>
      <c r="H28" s="170">
        <v>5</v>
      </c>
    </row>
    <row r="29" spans="1:12" ht="12.75" customHeight="1" x14ac:dyDescent="0.2">
      <c r="A29" s="93" t="s">
        <v>183</v>
      </c>
      <c r="B29" s="6"/>
      <c r="C29" s="6"/>
      <c r="D29" s="6"/>
      <c r="E29" s="173">
        <v>6</v>
      </c>
      <c r="F29" s="550">
        <f>'[1]Page 2'!$E$34</f>
        <v>0</v>
      </c>
      <c r="G29" s="552">
        <f>SUM(G24:G28)</f>
        <v>2232</v>
      </c>
      <c r="H29" s="170">
        <v>6</v>
      </c>
      <c r="I29" s="4"/>
      <c r="J29" s="4"/>
      <c r="K29" s="4"/>
      <c r="L29" s="4"/>
    </row>
    <row r="30" spans="1:12" ht="12.75" customHeight="1" x14ac:dyDescent="0.2">
      <c r="F30" s="174"/>
      <c r="G30" s="174"/>
      <c r="H30" s="174"/>
      <c r="I30" s="174"/>
      <c r="J30" s="174"/>
      <c r="K30" s="175"/>
      <c r="L30" s="174"/>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71" priority="1">
      <formula>LEN(TRIM(F16))=0</formula>
    </cfRule>
  </conditionalFormatting>
  <conditionalFormatting sqref="G24:G28">
    <cfRule type="expression" dxfId="70" priority="5" stopIfTrue="1">
      <formula>G24=""</formula>
    </cfRule>
  </conditionalFormatting>
  <conditionalFormatting sqref="G7:I7 F7:F10 G9:G10">
    <cfRule type="expression" dxfId="69" priority="6" stopIfTrue="1">
      <formula>F7=""</formula>
    </cfRule>
  </conditionalFormatting>
  <conditionalFormatting sqref="K10:Z10">
    <cfRule type="expression" dxfId="68" priority="2" stopIfTrue="1">
      <formula>$K$10&lt;&gt;""</formula>
    </cfRule>
    <cfRule type="expression" dxfId="67" priority="3" stopIfTrue="1">
      <formula>"K10&lt;&gt;"""""</formula>
    </cfRule>
  </conditionalFormatting>
  <conditionalFormatting sqref="K11:Z11">
    <cfRule type="expression" dxfId="66" priority="7" stopIfTrue="1">
      <formula>$K$11&lt;&gt;""</formula>
    </cfRule>
  </conditionalFormatting>
  <hyperlinks>
    <hyperlink ref="A23:D23" location="ArizonaIndustryCredentialsIncentive" display="Arizona Industry Credentials Incentive Project—detailed expenses"/>
    <hyperlink ref="A16:C16" location="Page4AdjBeginProjBal" display="Adjusted beginning project balance"/>
  </hyperlinks>
  <pageMargins left="0.7" right="0.7" top="0.75" bottom="0.75" header="0.3" footer="0.3"/>
  <pageSetup paperSize="5" scale="77" orientation="landscape" r:id="rId1"/>
  <headerFooter>
    <oddFooter>&amp;LRev. 8/25 Arizona Department of Education and Auditor General&amp;CFY 2025
No assurance provided.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8"/>
  <sheetViews>
    <sheetView showGridLines="0" topLeftCell="A22" workbookViewId="0">
      <selection activeCell="Q34" sqref="Q33:R34"/>
    </sheetView>
  </sheetViews>
  <sheetFormatPr defaultColWidth="9.33203125" defaultRowHeight="12.75" x14ac:dyDescent="0.2"/>
  <cols>
    <col min="1" max="1" width="1.83203125" customWidth="1"/>
    <col min="2" max="2" width="2" customWidth="1"/>
    <col min="3" max="3" width="17" customWidth="1"/>
    <col min="4" max="4" width="24" customWidth="1"/>
    <col min="5" max="5" width="4.33203125" bestFit="1" customWidth="1"/>
    <col min="6" max="10" width="12.83203125" customWidth="1"/>
    <col min="11" max="11" width="14.83203125" customWidth="1"/>
    <col min="12" max="16" width="12.83203125" customWidth="1"/>
    <col min="17" max="17" width="3.6640625" bestFit="1" customWidth="1"/>
  </cols>
  <sheetData>
    <row r="1" spans="1:17" ht="12" customHeight="1" x14ac:dyDescent="0.2">
      <c r="A1" s="549" t="s">
        <v>0</v>
      </c>
      <c r="D1" s="806" t="str">
        <f>'Cover Page'!D1</f>
        <v>Eduprize Schools LLC</v>
      </c>
      <c r="E1" s="806"/>
      <c r="F1" s="4"/>
      <c r="G1" s="4"/>
      <c r="H1" s="4"/>
      <c r="J1" s="62" t="s">
        <v>1</v>
      </c>
      <c r="K1" s="806" t="str">
        <f>'Cover Page'!M1</f>
        <v>Pinal</v>
      </c>
      <c r="L1" s="806"/>
      <c r="N1" s="62" t="s">
        <v>2</v>
      </c>
      <c r="O1" s="62"/>
      <c r="P1" s="2" t="str">
        <f>'Cover Page'!R1</f>
        <v>078687000</v>
      </c>
    </row>
    <row r="2" spans="1:17" ht="12" customHeight="1" x14ac:dyDescent="0.2">
      <c r="A2" s="69"/>
      <c r="B2" s="69"/>
      <c r="C2" s="69"/>
      <c r="D2" s="69"/>
      <c r="E2" s="69"/>
      <c r="F2" s="69"/>
      <c r="G2" s="69"/>
      <c r="H2" s="69"/>
      <c r="I2" s="69"/>
      <c r="J2" s="69"/>
      <c r="K2" s="69"/>
    </row>
    <row r="3" spans="1:17" ht="12" customHeight="1" x14ac:dyDescent="0.2">
      <c r="A3" s="87"/>
      <c r="B3" s="72"/>
      <c r="C3" s="72"/>
      <c r="D3" s="72"/>
      <c r="E3" s="73"/>
      <c r="F3" s="177" t="s">
        <v>184</v>
      </c>
      <c r="G3" s="830" t="s">
        <v>1256</v>
      </c>
      <c r="H3" s="73"/>
      <c r="I3" s="570"/>
      <c r="J3" s="178" t="s">
        <v>185</v>
      </c>
      <c r="K3" s="570" t="s">
        <v>86</v>
      </c>
      <c r="L3" s="73"/>
      <c r="M3" s="83"/>
      <c r="N3" s="822" t="s">
        <v>186</v>
      </c>
      <c r="O3" s="835"/>
      <c r="P3" s="570" t="s">
        <v>187</v>
      </c>
    </row>
    <row r="4" spans="1:17" ht="12" customHeight="1" x14ac:dyDescent="0.2">
      <c r="A4" s="95" t="s">
        <v>188</v>
      </c>
      <c r="E4" s="78"/>
      <c r="F4" s="81" t="s">
        <v>189</v>
      </c>
      <c r="G4" s="831"/>
      <c r="H4" s="144" t="s">
        <v>23</v>
      </c>
      <c r="I4" s="81" t="s">
        <v>90</v>
      </c>
      <c r="J4" s="79" t="s">
        <v>91</v>
      </c>
      <c r="K4" s="81" t="s">
        <v>92</v>
      </c>
      <c r="L4" s="144" t="s">
        <v>93</v>
      </c>
      <c r="M4" s="81" t="s">
        <v>94</v>
      </c>
      <c r="N4" s="179"/>
      <c r="P4" s="81" t="s">
        <v>189</v>
      </c>
    </row>
    <row r="5" spans="1:17" ht="12" customHeight="1" x14ac:dyDescent="0.2">
      <c r="A5" s="93"/>
      <c r="B5" s="6"/>
      <c r="C5" s="6"/>
      <c r="D5" s="6"/>
      <c r="E5" s="180"/>
      <c r="F5" s="86" t="s">
        <v>190</v>
      </c>
      <c r="G5" s="832"/>
      <c r="H5" s="181" t="s">
        <v>191</v>
      </c>
      <c r="I5" s="86">
        <v>6100</v>
      </c>
      <c r="J5" s="575">
        <v>6200</v>
      </c>
      <c r="K5" s="86" t="s">
        <v>97</v>
      </c>
      <c r="L5" s="576">
        <v>6600</v>
      </c>
      <c r="M5" s="86">
        <v>6800</v>
      </c>
      <c r="N5" s="182" t="s">
        <v>98</v>
      </c>
      <c r="O5" s="183" t="s">
        <v>23</v>
      </c>
      <c r="P5" s="86" t="s">
        <v>190</v>
      </c>
    </row>
    <row r="6" spans="1:17" ht="11.25" customHeight="1" x14ac:dyDescent="0.2">
      <c r="A6" s="87" t="s">
        <v>192</v>
      </c>
      <c r="B6" s="72"/>
      <c r="C6" s="72"/>
      <c r="D6" s="72"/>
      <c r="F6" s="828"/>
      <c r="G6" s="571"/>
      <c r="H6" s="828"/>
      <c r="I6" s="828"/>
      <c r="J6" s="828"/>
      <c r="K6" s="828"/>
      <c r="L6" s="828"/>
      <c r="M6" s="828"/>
      <c r="N6" s="828"/>
      <c r="O6" s="571"/>
      <c r="P6" s="828"/>
    </row>
    <row r="7" spans="1:17" ht="11.25" customHeight="1" x14ac:dyDescent="0.2">
      <c r="A7" s="116" t="s">
        <v>165</v>
      </c>
      <c r="E7" s="184"/>
      <c r="F7" s="829"/>
      <c r="G7" s="647"/>
      <c r="H7" s="829"/>
      <c r="I7" s="829"/>
      <c r="J7" s="829"/>
      <c r="K7" s="829"/>
      <c r="L7" s="829"/>
      <c r="M7" s="829"/>
      <c r="N7" s="829"/>
      <c r="O7" s="572"/>
      <c r="P7" s="829"/>
    </row>
    <row r="8" spans="1:17" ht="12" customHeight="1" x14ac:dyDescent="0.2">
      <c r="A8" s="116"/>
      <c r="B8" t="s">
        <v>193</v>
      </c>
      <c r="E8" s="184">
        <v>1</v>
      </c>
      <c r="F8" s="185"/>
      <c r="G8" s="185"/>
      <c r="H8" s="552">
        <f>-(SUMIFS('Accounting data'!$G$2:$G$37002,'Accounting data'!$H$2:$H$37002,"1071*",'Accounting data'!$K$2:$K$37002,"32*"))</f>
        <v>0</v>
      </c>
      <c r="I8" s="185"/>
      <c r="J8" s="185"/>
      <c r="K8" s="185"/>
      <c r="L8" s="185"/>
      <c r="M8" s="185"/>
      <c r="N8" s="185"/>
      <c r="O8" s="185"/>
      <c r="P8" s="185"/>
      <c r="Q8" s="149">
        <v>1</v>
      </c>
    </row>
    <row r="9" spans="1:17" ht="12" customHeight="1" x14ac:dyDescent="0.2">
      <c r="A9" s="116"/>
      <c r="B9" t="s">
        <v>194</v>
      </c>
      <c r="E9" s="184">
        <v>2</v>
      </c>
      <c r="F9" s="185"/>
      <c r="G9" s="185"/>
      <c r="H9" s="552">
        <f>-(SUMIFS('Accounting data'!$G$2:$G$37002,'Accounting data'!$H$2:$H$37002,"1071*",'Accounting data'!$K$2:$K$37002,"15*"))</f>
        <v>0</v>
      </c>
      <c r="I9" s="185"/>
      <c r="J9" s="185"/>
      <c r="K9" s="185"/>
      <c r="L9" s="185"/>
      <c r="M9" s="185"/>
      <c r="N9" s="185"/>
      <c r="O9" s="185"/>
      <c r="P9" s="185"/>
      <c r="Q9" s="149">
        <v>2</v>
      </c>
    </row>
    <row r="10" spans="1:17" ht="12" customHeight="1" x14ac:dyDescent="0.2">
      <c r="A10" s="89" t="s">
        <v>195</v>
      </c>
      <c r="E10" s="184">
        <v>3</v>
      </c>
      <c r="F10" s="185"/>
      <c r="G10" s="185"/>
      <c r="H10" s="552">
        <f>SUM(H8:H9)</f>
        <v>0</v>
      </c>
      <c r="I10" s="186"/>
      <c r="J10" s="186"/>
      <c r="K10" s="186"/>
      <c r="L10" s="186"/>
      <c r="M10" s="186"/>
      <c r="N10" s="185"/>
      <c r="O10" s="185"/>
      <c r="P10" s="185"/>
      <c r="Q10" s="149">
        <v>3</v>
      </c>
    </row>
    <row r="11" spans="1:17" ht="11.25" customHeight="1" x14ac:dyDescent="0.2">
      <c r="A11" s="116" t="s">
        <v>89</v>
      </c>
      <c r="E11" s="187"/>
      <c r="F11" s="188"/>
      <c r="G11" s="648"/>
      <c r="H11" s="838"/>
      <c r="I11" s="189"/>
      <c r="J11" s="189"/>
      <c r="K11" s="189"/>
      <c r="L11" s="189"/>
      <c r="M11" s="189"/>
      <c r="N11" s="189"/>
      <c r="O11" s="189"/>
      <c r="P11" s="190"/>
    </row>
    <row r="12" spans="1:17" ht="12" customHeight="1" x14ac:dyDescent="0.2">
      <c r="A12" s="89" t="s">
        <v>196</v>
      </c>
      <c r="F12" s="191"/>
      <c r="G12" s="649"/>
      <c r="H12" s="839"/>
      <c r="I12" s="192"/>
      <c r="J12" s="192"/>
      <c r="K12" s="192"/>
      <c r="L12" s="192"/>
      <c r="M12" s="192"/>
      <c r="N12" s="192"/>
      <c r="O12" s="192"/>
      <c r="P12" s="193"/>
    </row>
    <row r="13" spans="1:17" ht="12" customHeight="1" x14ac:dyDescent="0.2">
      <c r="A13" s="89"/>
      <c r="B13" t="s">
        <v>197</v>
      </c>
      <c r="E13" s="187">
        <v>4</v>
      </c>
      <c r="F13" s="194"/>
      <c r="G13" s="650"/>
      <c r="H13" s="840"/>
      <c r="I13" s="557">
        <f>SUMIFS('Accounting data'!$G$2:$G$37002,'Accounting data'!$H$2:$H$37002,"1071*",'Accounting data'!$I$2:$I$37002,"260*",'Accounting data'!$J$2:$J$37002,"1*",'Accounting data'!$K$2:$K$37002,"61*")</f>
        <v>0</v>
      </c>
      <c r="J13" s="557">
        <f>SUMIFS('Accounting data'!$G$2:$G$37002,'Accounting data'!$H$2:$H$37002,"1071*",'Accounting data'!$I$2:$I$37002,"260*",'Accounting data'!$J$2:$J$37002,"1*",'Accounting data'!$K$2:$K$37002,"62*")</f>
        <v>0</v>
      </c>
      <c r="K13" s="557">
        <f>SUMIFS('Accounting data'!$G$2:$G$37002,'Accounting data'!$H$2:$H$37002,"1071*",'Accounting data'!$I$2:$I$37002,"260*",'Accounting data'!$J$2:$J$37002,"1*",'Accounting data'!$K$2:$K$37002,"63*")</f>
        <v>0</v>
      </c>
      <c r="L13" s="557">
        <f>SUMIFS('Accounting data'!$G$2:$G$37002,'Accounting data'!$H$2:$H$37002,"1071*",'Accounting data'!$I$2:$I$37002,"260*",'Accounting data'!$J$2:$J$37002,"1*",'Accounting data'!$K$2:$K$37002,"66*")</f>
        <v>0</v>
      </c>
      <c r="M13" s="557">
        <f>SUMIFS('Accounting data'!$G$2:$G$37002,'Accounting data'!$H$2:$H$37002,"1071*",'Accounting data'!$I$2:$I$37002,"260*",'Accounting data'!$J$2:$J$37002,"1*",'Accounting data'!$K$2:$K$37002,"68*")</f>
        <v>0</v>
      </c>
      <c r="N13" s="557">
        <f>[1]!SEIP1071P260F1000</f>
        <v>0</v>
      </c>
      <c r="O13" s="557">
        <f>SUM(I13:M13)</f>
        <v>0</v>
      </c>
      <c r="P13" s="195"/>
      <c r="Q13" s="149">
        <v>4</v>
      </c>
    </row>
    <row r="14" spans="1:17" ht="12" customHeight="1" x14ac:dyDescent="0.2">
      <c r="A14" s="89"/>
      <c r="B14" t="s">
        <v>198</v>
      </c>
      <c r="F14" s="188"/>
      <c r="G14" s="648"/>
      <c r="H14" s="838"/>
      <c r="I14" s="192"/>
      <c r="J14" s="192"/>
      <c r="K14" s="192"/>
      <c r="L14" s="192"/>
      <c r="M14" s="192"/>
      <c r="N14" s="836">
        <f>[1]!SEIP1071P260F2100</f>
        <v>0</v>
      </c>
      <c r="O14" s="842">
        <f>SUM(I15:M15)</f>
        <v>0</v>
      </c>
      <c r="P14" s="190"/>
    </row>
    <row r="15" spans="1:17" ht="12" customHeight="1" x14ac:dyDescent="0.2">
      <c r="A15" s="89"/>
      <c r="C15" t="s">
        <v>199</v>
      </c>
      <c r="E15" s="184">
        <v>5</v>
      </c>
      <c r="F15" s="194"/>
      <c r="G15" s="650"/>
      <c r="H15" s="840"/>
      <c r="I15" s="557">
        <f>SUMIFS('Accounting data'!$G$2:$G$37002,'Accounting data'!$H$2:$H$37002,"1071*",'Accounting data'!$I$2:$I$37002,"260*",'Accounting data'!$J$2:$J$37002,"21*",'Accounting data'!$K$2:$K$37002,"61*")</f>
        <v>0</v>
      </c>
      <c r="J15" s="557">
        <f>SUMIFS('Accounting data'!$G$2:$G$37002,'Accounting data'!$H$2:$H$37002,"1071*",'Accounting data'!$I$2:$I$37002,"260*",'Accounting data'!$J$2:$J$37002,"21*",'Accounting data'!$K$2:$K$37002,"62*")</f>
        <v>0</v>
      </c>
      <c r="K15" s="557">
        <f>SUMIFS('Accounting data'!$G$2:$G$37002,'Accounting data'!$H$2:$H$37002,"1071*",'Accounting data'!$I$2:$I$37002,"260*",'Accounting data'!$J$2:$J$37002,"21*",'Accounting data'!$K$2:$K$37002,"63*")</f>
        <v>0</v>
      </c>
      <c r="L15" s="557">
        <f>SUMIFS('Accounting data'!$G$2:$G$37002,'Accounting data'!$H$2:$H$37002,"1071*",'Accounting data'!$I$2:$I$37002,"260*",'Accounting data'!$J$2:$J$37002,"21*",'Accounting data'!$K$2:$K$37002,"66*")</f>
        <v>0</v>
      </c>
      <c r="M15" s="557">
        <f>SUMIFS('Accounting data'!$G$2:$G$37002,'Accounting data'!$H$2:$H$37002,"1071*",'Accounting data'!$I$2:$I$37002,"260*",'Accounting data'!$J$2:$J$37002,"21*",'Accounting data'!$K$2:$K$37002,"68*")</f>
        <v>0</v>
      </c>
      <c r="N15" s="837"/>
      <c r="O15" s="843"/>
      <c r="P15" s="195"/>
      <c r="Q15" s="149">
        <v>5</v>
      </c>
    </row>
    <row r="16" spans="1:17" ht="12" customHeight="1" x14ac:dyDescent="0.2">
      <c r="A16" s="89"/>
      <c r="C16" t="s">
        <v>200</v>
      </c>
      <c r="E16" s="187">
        <v>6</v>
      </c>
      <c r="F16" s="196"/>
      <c r="G16" s="651"/>
      <c r="H16" s="197"/>
      <c r="I16" s="557">
        <f>SUMIFS('Accounting data'!$G$2:$G$37002,'Accounting data'!$H$2:$H$37002,"1071*",'Accounting data'!$I$2:$I$37002,"260*",'Accounting data'!$J$2:$J$37002,"22*",'Accounting data'!$K$2:$K$37002,"61*")</f>
        <v>0</v>
      </c>
      <c r="J16" s="557">
        <f>SUMIFS('Accounting data'!$G$2:$G$37002,'Accounting data'!$H$2:$H$37002,"1071*",'Accounting data'!$I$2:$I$37002,"260*",'Accounting data'!$J$2:$J$37002,"22*",'Accounting data'!$K$2:$K$37002,"62*")</f>
        <v>0</v>
      </c>
      <c r="K16" s="557">
        <f>SUMIFS('Accounting data'!$G$2:$G$37002,'Accounting data'!$H$2:$H$37002,"1071*",'Accounting data'!$I$2:$I$37002,"260*",'Accounting data'!$J$2:$J$37002,"22*",'Accounting data'!$K$2:$K$37002,"63*")</f>
        <v>0</v>
      </c>
      <c r="L16" s="557">
        <f>SUMIFS('Accounting data'!$G$2:$G$37002,'Accounting data'!$H$2:$H$37002,"1071*",'Accounting data'!$I$2:$I$37002,"260*",'Accounting data'!$J$2:$J$37002,"22*",'Accounting data'!$K$2:$K$37002,"66*")</f>
        <v>0</v>
      </c>
      <c r="M16" s="557">
        <f>SUMIFS('Accounting data'!$G$2:$G$37002,'Accounting data'!$H$2:$H$37002,"1071*",'Accounting data'!$I$2:$I$37002,"260*",'Accounting data'!$J$2:$J$37002,"22*",'Accounting data'!$K$2:$K$37002,"68*")</f>
        <v>0</v>
      </c>
      <c r="N16" s="550">
        <f>[1]!SEIP1071P260F2200</f>
        <v>0</v>
      </c>
      <c r="O16" s="552">
        <f t="shared" ref="O16:O21" si="0">SUM(I16:M16)</f>
        <v>0</v>
      </c>
      <c r="P16" s="198"/>
      <c r="Q16" s="149">
        <v>6</v>
      </c>
    </row>
    <row r="17" spans="1:17" ht="12" customHeight="1" x14ac:dyDescent="0.2">
      <c r="A17" s="89"/>
      <c r="C17" t="s">
        <v>201</v>
      </c>
      <c r="E17" s="184">
        <v>7</v>
      </c>
      <c r="F17" s="196"/>
      <c r="G17" s="651"/>
      <c r="H17" s="197"/>
      <c r="I17" s="552">
        <f>SUMIFS('Accounting data'!$G$2:$G$37002,'Accounting data'!$H$2:$H$37002,"1071*",'Accounting data'!$I$2:$I$37002,"260*",'Accounting data'!$J$2:$J$37002,"23*",'Accounting data'!$K$2:$K$37002,"61*")</f>
        <v>0</v>
      </c>
      <c r="J17" s="552">
        <f>SUMIFS('Accounting data'!$G$2:$G$37002,'Accounting data'!$H$2:$H$37002,"1071*",'Accounting data'!$I$2:$I$37002,"260*",'Accounting data'!$J$2:$J$37002,"23*",'Accounting data'!$K$2:$K$37002,"62*")</f>
        <v>0</v>
      </c>
      <c r="K17" s="552">
        <f>SUMIFS('Accounting data'!$G$2:$G$37002,'Accounting data'!$H$2:$H$37002,"1071*",'Accounting data'!$I$2:$I$37002,"260*",'Accounting data'!$J$2:$J$37002,"23*",'Accounting data'!$K$2:$K$37002,"63*")</f>
        <v>0</v>
      </c>
      <c r="L17" s="552">
        <f>SUMIFS('Accounting data'!$G$2:$G$37002,'Accounting data'!$H$2:$H$37002,"1071*",'Accounting data'!$I$2:$I$37002,"260*",'Accounting data'!$J$2:$J$37002,"23*",'Accounting data'!$K$2:$K$37002,"66*")</f>
        <v>0</v>
      </c>
      <c r="M17" s="552">
        <f>SUMIFS('Accounting data'!$G$2:$G$37002,'Accounting data'!$H$2:$H$37002,"1071*",'Accounting data'!$I$2:$I$37002,"260*",'Accounting data'!$J$2:$J$37002,"23*",'Accounting data'!$K$2:$K$37002,"68*")</f>
        <v>0</v>
      </c>
      <c r="N17" s="550">
        <f>[1]!SEIP1071P260F2300</f>
        <v>0</v>
      </c>
      <c r="O17" s="552">
        <f t="shared" si="0"/>
        <v>0</v>
      </c>
      <c r="P17" s="198"/>
      <c r="Q17" s="149">
        <v>7</v>
      </c>
    </row>
    <row r="18" spans="1:17" ht="12" customHeight="1" x14ac:dyDescent="0.2">
      <c r="A18" s="89"/>
      <c r="C18" t="s">
        <v>202</v>
      </c>
      <c r="E18" s="184">
        <v>8</v>
      </c>
      <c r="F18" s="196"/>
      <c r="G18" s="651"/>
      <c r="H18" s="197"/>
      <c r="I18" s="552">
        <f>SUMIFS('Accounting data'!$G$2:$G$37002,'Accounting data'!$H$2:$H$37002,"1071*",'Accounting data'!$I$2:$I$37002,"260*",'Accounting data'!$J$2:$J$37002,"24*",'Accounting data'!$K$2:$K$37002,"61*")</f>
        <v>0</v>
      </c>
      <c r="J18" s="552">
        <f>SUMIFS('Accounting data'!$G$2:$G$37002,'Accounting data'!$H$2:$H$37002,"1071*",'Accounting data'!$I$2:$I$37002,"260*",'Accounting data'!$J$2:$J$37002,"24*",'Accounting data'!$K$2:$K$37002,"62*")</f>
        <v>0</v>
      </c>
      <c r="K18" s="552">
        <f>SUMIFS('Accounting data'!$G$2:$G$37002,'Accounting data'!$H$2:$H$37002,"1071*",'Accounting data'!$I$2:$I$37002,"260*",'Accounting data'!$J$2:$J$37002,"24*",'Accounting data'!$K$2:$K$37002,"63*")</f>
        <v>0</v>
      </c>
      <c r="L18" s="552">
        <f>SUMIFS('Accounting data'!$G$2:$G$37002,'Accounting data'!$H$2:$H$37002,"1071*",'Accounting data'!$I$2:$I$37002,"260*",'Accounting data'!$J$2:$J$37002,"24*",'Accounting data'!$K$2:$K$37002,"66*")</f>
        <v>0</v>
      </c>
      <c r="M18" s="552">
        <f>SUMIFS('Accounting data'!$G$2:$G$37002,'Accounting data'!$H$2:$H$37002,"1071*",'Accounting data'!$I$2:$I$37002,"260*",'Accounting data'!$J$2:$J$37002,"24*",'Accounting data'!$K$2:$K$37002,"68*")</f>
        <v>0</v>
      </c>
      <c r="N18" s="550">
        <f>[1]!SEIP1071P260F2400</f>
        <v>0</v>
      </c>
      <c r="O18" s="552">
        <f t="shared" si="0"/>
        <v>0</v>
      </c>
      <c r="P18" s="198"/>
      <c r="Q18" s="149">
        <v>8</v>
      </c>
    </row>
    <row r="19" spans="1:17" ht="12" customHeight="1" x14ac:dyDescent="0.2">
      <c r="A19" s="89"/>
      <c r="C19" t="s">
        <v>203</v>
      </c>
      <c r="E19" s="184">
        <v>9</v>
      </c>
      <c r="F19" s="196"/>
      <c r="G19" s="651"/>
      <c r="H19" s="197"/>
      <c r="I19" s="552">
        <f>SUMIFS('Accounting data'!$G$2:$G$37002,'Accounting data'!$H$2:$H$37002,"1071*",'Accounting data'!$I$2:$I$37002,"260*",'Accounting data'!$J$2:$J$37002,"25*",'Accounting data'!$K$2:$K$37002,"61*")</f>
        <v>0</v>
      </c>
      <c r="J19" s="552">
        <f>SUMIFS('Accounting data'!$G$2:$G$37002,'Accounting data'!$H$2:$H$37002,"1071*",'Accounting data'!$I$2:$I$37002,"260*",'Accounting data'!$J$2:$J$37002,"25*",'Accounting data'!$K$2:$K$37002,"62*")</f>
        <v>0</v>
      </c>
      <c r="K19" s="552">
        <f>SUMIFS('Accounting data'!$G$2:$G$37002,'Accounting data'!$H$2:$H$37002,"1071*",'Accounting data'!$I$2:$I$37002,"260*",'Accounting data'!$J$2:$J$37002,"25*",'Accounting data'!$K$2:$K$37002,"63*")</f>
        <v>0</v>
      </c>
      <c r="L19" s="552">
        <f>SUMIFS('Accounting data'!$G$2:$G$37002,'Accounting data'!$H$2:$H$37002,"1071*",'Accounting data'!$I$2:$I$37002,"260*",'Accounting data'!$J$2:$J$37002,"25*",'Accounting data'!$K$2:$K$37002,"66*")</f>
        <v>0</v>
      </c>
      <c r="M19" s="552">
        <f>SUMIFS('Accounting data'!$G$2:$G$37002,'Accounting data'!$H$2:$H$37002,"1071*",'Accounting data'!$I$2:$I$37002,"260*",'Accounting data'!$J$2:$J$37002,"25*",'Accounting data'!$K$2:$K$37002,"68*")</f>
        <v>0</v>
      </c>
      <c r="N19" s="550">
        <f>[1]!SEIP1071P260F2500</f>
        <v>0</v>
      </c>
      <c r="O19" s="552">
        <f t="shared" si="0"/>
        <v>0</v>
      </c>
      <c r="P19" s="198"/>
      <c r="Q19" s="149">
        <v>9</v>
      </c>
    </row>
    <row r="20" spans="1:17" ht="12" customHeight="1" x14ac:dyDescent="0.2">
      <c r="A20" s="89"/>
      <c r="C20" t="s">
        <v>204</v>
      </c>
      <c r="E20" s="184">
        <v>10</v>
      </c>
      <c r="F20" s="196"/>
      <c r="G20" s="651"/>
      <c r="H20" s="197"/>
      <c r="I20" s="552">
        <f>SUMIFS('Accounting data'!$G$2:$G$37002,'Accounting data'!$H$2:$H$37002,"1071*",'Accounting data'!$I$2:$I$37002,"260*",'Accounting data'!$J$2:$J$37002,"26*",'Accounting data'!$K$2:$K$37002,"61*")</f>
        <v>0</v>
      </c>
      <c r="J20" s="552">
        <f>SUMIFS('Accounting data'!$G$2:$G$37002,'Accounting data'!$H$2:$H$37002,"1071*",'Accounting data'!$I$2:$I$37002,"260*",'Accounting data'!$J$2:$J$37002,"26*",'Accounting data'!$K$2:$K$37002,"62*")</f>
        <v>0</v>
      </c>
      <c r="K20" s="552">
        <f>SUMIFS('Accounting data'!$G$2:$G$37002,'Accounting data'!$H$2:$H$37002,"1071*",'Accounting data'!$I$2:$I$37002,"260*",'Accounting data'!$J$2:$J$37002,"26*",'Accounting data'!$K$2:$K$37002,"63*")</f>
        <v>0</v>
      </c>
      <c r="L20" s="552">
        <f>SUMIFS('Accounting data'!$G$2:$G$37002,'Accounting data'!$H$2:$H$37002,"1071*",'Accounting data'!$I$2:$I$37002,"260*",'Accounting data'!$J$2:$J$37002,"26*",'Accounting data'!$K$2:$K$37002,"66*")</f>
        <v>0</v>
      </c>
      <c r="M20" s="552">
        <f>SUMIFS('Accounting data'!$G$2:$G$37002,'Accounting data'!$H$2:$H$37002,"1071*",'Accounting data'!$I$2:$I$37002,"260*",'Accounting data'!$J$2:$J$37002,"26*",'Accounting data'!$K$2:$K$37002,"68*")</f>
        <v>0</v>
      </c>
      <c r="N20" s="550">
        <f>[1]!SEIP1071P260F2600</f>
        <v>0</v>
      </c>
      <c r="O20" s="552">
        <f t="shared" si="0"/>
        <v>0</v>
      </c>
      <c r="P20" s="198"/>
      <c r="Q20" s="149">
        <v>10</v>
      </c>
    </row>
    <row r="21" spans="1:17" ht="12" customHeight="1" x14ac:dyDescent="0.2">
      <c r="A21" s="89"/>
      <c r="C21" t="s">
        <v>205</v>
      </c>
      <c r="E21" s="184">
        <v>11</v>
      </c>
      <c r="F21" s="196"/>
      <c r="G21" s="651"/>
      <c r="H21" s="197"/>
      <c r="I21" s="552">
        <f>SUMIFS('Accounting data'!$G$2:$G$37002,'Accounting data'!$H$2:$H$37002,"1071*",'Accounting data'!$I$2:$I$37002,"260*",'Accounting data'!$J$2:$J$37002,"29*",'Accounting data'!$K$2:$K$37002,"61*")</f>
        <v>0</v>
      </c>
      <c r="J21" s="552">
        <f>SUMIFS('Accounting data'!$G$2:$G$37002,'Accounting data'!$H$2:$H$37002,"1071*",'Accounting data'!$I$2:$I$37002,"260*",'Accounting data'!$J$2:$J$37002,"29*",'Accounting data'!$K$2:$K$37002,"62*")</f>
        <v>0</v>
      </c>
      <c r="K21" s="552">
        <f>SUMIFS('Accounting data'!$G$2:$G$37002,'Accounting data'!$H$2:$H$37002,"1071*",'Accounting data'!$I$2:$I$37002,"260*",'Accounting data'!$J$2:$J$37002,"29*",'Accounting data'!$K$2:$K$37002,"63*")</f>
        <v>0</v>
      </c>
      <c r="L21" s="552">
        <f>SUMIFS('Accounting data'!$G$2:$G$37002,'Accounting data'!$H$2:$H$37002,"1071*",'Accounting data'!$I$2:$I$37002,"260*",'Accounting data'!$J$2:$J$37002,"29*",'Accounting data'!$K$2:$K$37002,"66*")</f>
        <v>0</v>
      </c>
      <c r="M21" s="552">
        <f>SUMIFS('Accounting data'!$G$2:$G$37002,'Accounting data'!$H$2:$H$37002,"1071*",'Accounting data'!$I$2:$I$37002,"260*",'Accounting data'!$J$2:$J$37002,"29*",'Accounting data'!$K$2:$K$37002,"68*")</f>
        <v>0</v>
      </c>
      <c r="N21" s="550">
        <f>[1]!SEIP1071P260F2900</f>
        <v>0</v>
      </c>
      <c r="O21" s="552">
        <f t="shared" si="0"/>
        <v>0</v>
      </c>
      <c r="P21" s="198"/>
      <c r="Q21" s="149">
        <v>11</v>
      </c>
    </row>
    <row r="22" spans="1:17" ht="12" customHeight="1" x14ac:dyDescent="0.2">
      <c r="A22" s="93"/>
      <c r="B22" s="6" t="s">
        <v>206</v>
      </c>
      <c r="C22" s="6"/>
      <c r="D22" s="6"/>
      <c r="E22" s="180">
        <v>12</v>
      </c>
      <c r="F22" s="196"/>
      <c r="G22" s="652"/>
      <c r="H22" s="199"/>
      <c r="I22" s="552">
        <f>SUM(I13:I21)</f>
        <v>0</v>
      </c>
      <c r="J22" s="552">
        <f t="shared" ref="J22:O22" si="1">SUM(J13:J21)</f>
        <v>0</v>
      </c>
      <c r="K22" s="552">
        <f>SUM(K13:K21)</f>
        <v>0</v>
      </c>
      <c r="L22" s="552">
        <f t="shared" si="1"/>
        <v>0</v>
      </c>
      <c r="M22" s="552">
        <f t="shared" si="1"/>
        <v>0</v>
      </c>
      <c r="N22" s="552">
        <f t="shared" si="1"/>
        <v>0</v>
      </c>
      <c r="O22" s="552">
        <f t="shared" si="1"/>
        <v>0</v>
      </c>
      <c r="P22" s="198"/>
      <c r="Q22" s="200">
        <v>12</v>
      </c>
    </row>
    <row r="23" spans="1:17" ht="12" customHeight="1" x14ac:dyDescent="0.2">
      <c r="A23" s="89" t="s">
        <v>207</v>
      </c>
      <c r="E23" s="184"/>
      <c r="F23" s="188"/>
      <c r="G23" s="648"/>
      <c r="H23" s="838"/>
      <c r="I23" s="83"/>
      <c r="J23" s="83"/>
      <c r="K23" s="83"/>
      <c r="L23" s="83"/>
      <c r="M23" s="83"/>
      <c r="N23" s="83"/>
      <c r="O23" s="83"/>
      <c r="P23" s="190"/>
      <c r="Q23" s="149"/>
    </row>
    <row r="24" spans="1:17" ht="12" customHeight="1" x14ac:dyDescent="0.2">
      <c r="A24" s="89"/>
      <c r="B24" t="s">
        <v>198</v>
      </c>
      <c r="E24" s="184"/>
      <c r="F24" s="191"/>
      <c r="G24" s="649"/>
      <c r="H24" s="839"/>
      <c r="I24" s="595"/>
      <c r="J24" s="595"/>
      <c r="K24" s="595"/>
      <c r="L24" s="595"/>
      <c r="M24" s="595"/>
      <c r="N24" s="595"/>
      <c r="O24" s="192"/>
      <c r="P24" s="193"/>
      <c r="Q24" s="149"/>
    </row>
    <row r="25" spans="1:17" ht="12" customHeight="1" x14ac:dyDescent="0.2">
      <c r="A25" s="89"/>
      <c r="C25" t="s">
        <v>208</v>
      </c>
      <c r="E25" s="184">
        <v>13</v>
      </c>
      <c r="F25" s="194"/>
      <c r="G25" s="650"/>
      <c r="H25" s="840"/>
      <c r="I25" s="595">
        <f>SUMIFS('Accounting data'!$G$2:$G$37002,'Accounting data'!$H$2:$H$37002,"1071*",'Accounting data'!$I$2:$I$37002,"43*",'Accounting data'!$J$2:$J$37002,"27*",'Accounting data'!$K$2:$K$37002,"61*")</f>
        <v>0</v>
      </c>
      <c r="J25" s="595">
        <f>SUMIFS('Accounting data'!$G$2:$G$37002,'Accounting data'!$H$2:$H$37002,"1071*",'Accounting data'!$I$2:$I$37002,"43*",'Accounting data'!$J$2:$J$37002,"27*",'Accounting data'!$K$2:$K$37002,"62*")</f>
        <v>0</v>
      </c>
      <c r="K25" s="595">
        <f>SUMIFS('Accounting data'!$G$2:$G$37002,'Accounting data'!$H$2:$H$37002,"1071*",'Accounting data'!$I$2:$I$37002,"43*",'Accounting data'!$J$2:$J$37002,"27*",'Accounting data'!$K$2:$K$37002,"63*")</f>
        <v>0</v>
      </c>
      <c r="L25" s="595">
        <f>SUMIFS('Accounting data'!$G$2:$G$37002,'Accounting data'!$H$2:$H$37002,"1071*",'Accounting data'!$I$2:$I$37002,"43*",'Accounting data'!$J$2:$J$37002,"27*",'Accounting data'!$K$2:$K$37002,"66*")</f>
        <v>0</v>
      </c>
      <c r="M25" s="595">
        <f>SUMIFS('Accounting data'!$G$2:$G$37002,'Accounting data'!$H$2:$H$37002,"1071*",'Accounting data'!$I$2:$I$37002,"43*",'Accounting data'!$J$2:$J$37002,"27*",'Accounting data'!$K$2:$K$37002,"68*")</f>
        <v>0</v>
      </c>
      <c r="N25" s="595">
        <f>[1]!SEIP1071P430F2700</f>
        <v>0</v>
      </c>
      <c r="O25" s="557">
        <f>SUM(I25:M25)</f>
        <v>0</v>
      </c>
      <c r="P25" s="195"/>
      <c r="Q25" s="200">
        <v>13</v>
      </c>
    </row>
    <row r="26" spans="1:17" ht="12" customHeight="1" x14ac:dyDescent="0.2">
      <c r="A26" s="99" t="s">
        <v>209</v>
      </c>
      <c r="B26" s="100"/>
      <c r="C26" s="100"/>
      <c r="D26" s="100"/>
      <c r="E26" s="201">
        <v>14</v>
      </c>
      <c r="F26" s="550">
        <f>[2]!SEIP1071EndBal</f>
        <v>0</v>
      </c>
      <c r="G26" s="54">
        <v>0</v>
      </c>
      <c r="H26" s="552">
        <f>H10</f>
        <v>0</v>
      </c>
      <c r="I26" s="552">
        <f>SUM(I22:I24)</f>
        <v>0</v>
      </c>
      <c r="J26" s="552">
        <f>SUM(J22:J24)</f>
        <v>0</v>
      </c>
      <c r="K26" s="552">
        <f>SUM(K22:K24)</f>
        <v>0</v>
      </c>
      <c r="L26" s="552">
        <f>SUM(L22:L24)</f>
        <v>0</v>
      </c>
      <c r="M26" s="552">
        <f>SUM(M22:M24)</f>
        <v>0</v>
      </c>
      <c r="N26" s="552">
        <f>SUM(N22:N25)</f>
        <v>0</v>
      </c>
      <c r="O26" s="552">
        <f>SUM(O22:O25)</f>
        <v>0</v>
      </c>
      <c r="P26" s="552">
        <f>IF(G26="",F26,G26)+H26-O26</f>
        <v>0</v>
      </c>
      <c r="Q26" s="200">
        <v>14</v>
      </c>
    </row>
    <row r="27" spans="1:17" ht="9" customHeight="1" x14ac:dyDescent="0.2">
      <c r="A27" s="826"/>
      <c r="B27" s="826"/>
      <c r="C27" s="826"/>
      <c r="D27" s="826"/>
      <c r="E27" s="826"/>
      <c r="F27" s="826"/>
      <c r="G27" s="826"/>
      <c r="H27" s="826"/>
      <c r="I27" s="826"/>
      <c r="J27" s="826"/>
      <c r="K27" s="827"/>
      <c r="L27" s="827"/>
      <c r="M27" s="827"/>
    </row>
    <row r="28" spans="1:17" ht="11.25" customHeight="1" x14ac:dyDescent="0.2">
      <c r="A28" s="87" t="s">
        <v>210</v>
      </c>
      <c r="B28" s="72"/>
      <c r="C28" s="72"/>
      <c r="D28" s="72"/>
      <c r="E28" s="202"/>
      <c r="F28" s="833"/>
      <c r="G28" s="644"/>
      <c r="H28" s="833"/>
      <c r="I28" s="833"/>
      <c r="J28" s="833"/>
      <c r="K28" s="833"/>
      <c r="L28" s="833"/>
      <c r="M28" s="841"/>
      <c r="N28" s="841"/>
      <c r="O28" s="841"/>
      <c r="P28" s="833"/>
    </row>
    <row r="29" spans="1:17" ht="11.25" customHeight="1" x14ac:dyDescent="0.2">
      <c r="A29" s="116" t="s">
        <v>165</v>
      </c>
      <c r="E29" s="184"/>
      <c r="F29" s="834"/>
      <c r="G29" s="645"/>
      <c r="H29" s="844"/>
      <c r="I29" s="844"/>
      <c r="J29" s="844"/>
      <c r="K29" s="844"/>
      <c r="L29" s="844"/>
      <c r="M29" s="841"/>
      <c r="N29" s="841"/>
      <c r="O29" s="841"/>
      <c r="P29" s="834"/>
    </row>
    <row r="30" spans="1:17" ht="12" customHeight="1" x14ac:dyDescent="0.2">
      <c r="A30" s="116"/>
      <c r="B30" t="s">
        <v>193</v>
      </c>
      <c r="E30" s="184">
        <v>15</v>
      </c>
      <c r="F30" s="185"/>
      <c r="G30" s="185"/>
      <c r="H30" s="552">
        <f>-(SUMIFS('Accounting data'!$G$2:$G$37002,'Accounting data'!$H$2:$H$37002,"1072*",'Accounting data'!$K$2:$K$37002,"32*"))</f>
        <v>0</v>
      </c>
      <c r="I30" s="185"/>
      <c r="J30" s="185"/>
      <c r="K30" s="185"/>
      <c r="L30" s="185"/>
      <c r="M30" s="203"/>
      <c r="N30" s="185"/>
      <c r="O30" s="185"/>
      <c r="P30" s="185"/>
      <c r="Q30" s="200">
        <v>15</v>
      </c>
    </row>
    <row r="31" spans="1:17" ht="12" customHeight="1" x14ac:dyDescent="0.2">
      <c r="A31" s="116"/>
      <c r="B31" t="s">
        <v>194</v>
      </c>
      <c r="E31" s="184">
        <v>16</v>
      </c>
      <c r="F31" s="185"/>
      <c r="G31" s="185"/>
      <c r="H31" s="552">
        <f>-(SUMIFS('Accounting data'!$G$2:$G$37002,'Accounting data'!$H$2:$H$37002,"1072*",'Accounting data'!$K$2:$K$37002,"15*"))</f>
        <v>0</v>
      </c>
      <c r="I31" s="185"/>
      <c r="J31" s="185"/>
      <c r="K31" s="185"/>
      <c r="L31" s="185"/>
      <c r="M31" s="185"/>
      <c r="N31" s="185"/>
      <c r="O31" s="185"/>
      <c r="P31" s="185"/>
      <c r="Q31" s="200">
        <v>16</v>
      </c>
    </row>
    <row r="32" spans="1:17" ht="12" customHeight="1" x14ac:dyDescent="0.2">
      <c r="A32" s="89" t="s">
        <v>211</v>
      </c>
      <c r="E32" s="184">
        <v>17</v>
      </c>
      <c r="F32" s="186"/>
      <c r="G32" s="186"/>
      <c r="H32" s="552">
        <f>SUM(H30:H31)</f>
        <v>0</v>
      </c>
      <c r="I32" s="186"/>
      <c r="J32" s="186"/>
      <c r="K32" s="186"/>
      <c r="L32" s="186"/>
      <c r="M32" s="186"/>
      <c r="N32" s="186"/>
      <c r="O32" s="186"/>
      <c r="P32" s="186"/>
      <c r="Q32" s="200">
        <v>17</v>
      </c>
    </row>
    <row r="33" spans="1:17" ht="11.25" customHeight="1" x14ac:dyDescent="0.2">
      <c r="A33" s="116" t="s">
        <v>89</v>
      </c>
      <c r="E33" s="187"/>
      <c r="F33" s="188"/>
      <c r="G33" s="648"/>
      <c r="H33" s="204"/>
      <c r="I33" s="146"/>
      <c r="J33" s="146"/>
      <c r="K33" s="146"/>
      <c r="L33" s="146"/>
      <c r="M33" s="146"/>
      <c r="N33" s="146"/>
      <c r="O33" s="146"/>
      <c r="P33" s="188"/>
    </row>
    <row r="34" spans="1:17" ht="12" customHeight="1" x14ac:dyDescent="0.2">
      <c r="A34" s="89" t="s">
        <v>212</v>
      </c>
      <c r="E34" s="187"/>
      <c r="F34" s="191"/>
      <c r="G34" s="649"/>
      <c r="H34" s="205"/>
      <c r="I34" s="192"/>
      <c r="J34" s="192"/>
      <c r="K34" s="192"/>
      <c r="L34" s="192"/>
      <c r="M34" s="192"/>
      <c r="N34" s="192"/>
      <c r="O34" s="192"/>
      <c r="P34" s="191"/>
    </row>
    <row r="35" spans="1:17" ht="12" customHeight="1" x14ac:dyDescent="0.2">
      <c r="A35" s="89"/>
      <c r="B35" t="s">
        <v>197</v>
      </c>
      <c r="E35" s="187">
        <v>18</v>
      </c>
      <c r="F35" s="194"/>
      <c r="G35" s="650"/>
      <c r="H35" s="206"/>
      <c r="I35" s="557">
        <f>SUMIFS('Accounting data'!$G$2:$G$37002,'Accounting data'!$H$2:$H$37002,"1072*",'Accounting data'!$I$2:$I$37002,"265*",'Accounting data'!$J$2:$J$37002,"1*",'Accounting data'!$K$2:$K$37002,"61*")</f>
        <v>0</v>
      </c>
      <c r="J35" s="557">
        <f>SUMIFS('Accounting data'!$G$2:$G$37002,'Accounting data'!$H$2:$H$37002,"1072*",'Accounting data'!$I$2:$I$37002,"265*",'Accounting data'!$J$2:$J$37002,"1*",'Accounting data'!$K$2:$K$37002,"62*")</f>
        <v>0</v>
      </c>
      <c r="K35" s="557">
        <f>SUMIFS('Accounting data'!$G$2:$G$37002,'Accounting data'!$H$2:$H$37002,"1072*",'Accounting data'!$I$2:$I$37002,"265*",'Accounting data'!$J$2:$J$37002,"1*",'Accounting data'!$K$2:$K$37002,"63*")</f>
        <v>0</v>
      </c>
      <c r="L35" s="557">
        <f>SUMIFS('Accounting data'!$G$2:$G$37002,'Accounting data'!$H$2:$H$37002,"1072*",'Accounting data'!$I$2:$I$37002,"265*",'Accounting data'!$J$2:$J$37002,"1*",'Accounting data'!$K$2:$K$37002,"66*")</f>
        <v>0</v>
      </c>
      <c r="M35" s="557">
        <f>SUMIFS('Accounting data'!$G$2:$G$37002,'Accounting data'!$H$2:$H$37002,"1072*",'Accounting data'!$I$2:$I$37002,"265*",'Accounting data'!$J$2:$J$37002,"1*",'Accounting data'!$K$2:$K$37002,"68*")</f>
        <v>0</v>
      </c>
      <c r="N35" s="557">
        <f>[1]!CIP1072P265F1000</f>
        <v>0</v>
      </c>
      <c r="O35" s="557">
        <f>SUM(I35:M35)</f>
        <v>0</v>
      </c>
      <c r="P35" s="194"/>
      <c r="Q35" s="200">
        <v>18</v>
      </c>
    </row>
    <row r="36" spans="1:17" ht="12" customHeight="1" x14ac:dyDescent="0.2">
      <c r="A36" s="89"/>
      <c r="B36" t="s">
        <v>198</v>
      </c>
      <c r="E36" s="184"/>
      <c r="F36" s="188"/>
      <c r="G36" s="649"/>
      <c r="H36" s="839"/>
      <c r="I36" s="189"/>
      <c r="J36" s="189"/>
      <c r="K36" s="189"/>
      <c r="L36" s="189"/>
      <c r="M36" s="189"/>
      <c r="N36" s="189"/>
      <c r="O36" s="189"/>
      <c r="P36" s="188"/>
      <c r="Q36" s="200"/>
    </row>
    <row r="37" spans="1:17" ht="12" customHeight="1" x14ac:dyDescent="0.2">
      <c r="A37" s="89"/>
      <c r="C37" t="s">
        <v>199</v>
      </c>
      <c r="E37" s="184">
        <v>19</v>
      </c>
      <c r="F37" s="194"/>
      <c r="G37" s="649"/>
      <c r="H37" s="839"/>
      <c r="I37" s="557">
        <f>SUMIFS('Accounting data'!$G$2:$G$37002,'Accounting data'!$H$2:$H$37002,"1072*",'Accounting data'!$I$2:$I$37002,"265*",'Accounting data'!$J$2:$J$37002,"21*",'Accounting data'!$K$2:$K$37002,"61*")</f>
        <v>0</v>
      </c>
      <c r="J37" s="557">
        <f>SUMIFS('Accounting data'!$G$2:$G$37002,'Accounting data'!$H$2:$H$37002,"1072*",'Accounting data'!$I$2:$I$37002,"265*",'Accounting data'!$J$2:$J$37002,"21*",'Accounting data'!$K$2:$K$37002,"62*")</f>
        <v>0</v>
      </c>
      <c r="K37" s="557">
        <f>SUMIFS('Accounting data'!$G$2:$G$37002,'Accounting data'!$H$2:$H$37002,"1072*",'Accounting data'!$I$2:$I$37002,"265*",'Accounting data'!$J$2:$J$37002,"21*",'Accounting data'!$K$2:$K$37002,"63*")</f>
        <v>0</v>
      </c>
      <c r="L37" s="557">
        <f>SUMIFS('Accounting data'!$G$2:$G$37002,'Accounting data'!$H$2:$H$37002,"1072*",'Accounting data'!$I$2:$I$37002,"265*",'Accounting data'!$J$2:$J$37002,"21*",'Accounting data'!$K$2:$K$37002,"66*")</f>
        <v>0</v>
      </c>
      <c r="M37" s="557">
        <f>SUMIFS('Accounting data'!$G$2:$G$37002,'Accounting data'!$H$2:$H$37002,"1072*",'Accounting data'!$I$2:$I$37002,"265*",'Accounting data'!$J$2:$J$37002,"21*",'Accounting data'!$K$2:$K$37002,"68*")</f>
        <v>0</v>
      </c>
      <c r="N37" s="557">
        <f>[1]!CIP1072P265F2100</f>
        <v>0</v>
      </c>
      <c r="O37" s="557">
        <f>SUM(I37:M37)</f>
        <v>0</v>
      </c>
      <c r="P37" s="194"/>
      <c r="Q37" s="200">
        <v>19</v>
      </c>
    </row>
    <row r="38" spans="1:17" ht="12" customHeight="1" x14ac:dyDescent="0.2">
      <c r="A38" s="89"/>
      <c r="C38" t="s">
        <v>200</v>
      </c>
      <c r="E38" s="184">
        <v>20</v>
      </c>
      <c r="F38" s="196"/>
      <c r="G38" s="651"/>
      <c r="H38" s="197"/>
      <c r="I38" s="552">
        <f>SUMIFS('Accounting data'!$G$2:$G$37002,'Accounting data'!$H$2:$H$37002,"1072*",'Accounting data'!$I$2:$I$37002,"265*",'Accounting data'!$J$2:$J$37002,"22*",'Accounting data'!$K$2:$K$37002,"61*")</f>
        <v>0</v>
      </c>
      <c r="J38" s="552">
        <f>SUMIFS('Accounting data'!$G$2:$G$37002,'Accounting data'!$H$2:$H$37002,"1072*",'Accounting data'!$I$2:$I$37002,"265*",'Accounting data'!$J$2:$J$37002,"22*",'Accounting data'!$K$2:$K$37002,"62*")</f>
        <v>0</v>
      </c>
      <c r="K38" s="552">
        <f>SUMIFS('Accounting data'!$G$2:$G$37002,'Accounting data'!$H$2:$H$37002,"1072*",'Accounting data'!$I$2:$I$37002,"265*",'Accounting data'!$J$2:$J$37002,"22*",'Accounting data'!$K$2:$K$37002,"63*")</f>
        <v>0</v>
      </c>
      <c r="L38" s="552">
        <f>SUMIFS('Accounting data'!$G$2:$G$37002,'Accounting data'!$H$2:$H$37002,"1072*",'Accounting data'!$I$2:$I$37002,"265*",'Accounting data'!$J$2:$J$37002,"22*",'Accounting data'!$K$2:$K$37002,"66*")</f>
        <v>0</v>
      </c>
      <c r="M38" s="552">
        <f>SUMIFS('Accounting data'!$G$2:$G$37002,'Accounting data'!$H$2:$H$37002,"1072*",'Accounting data'!$I$2:$I$37002,"265*",'Accounting data'!$J$2:$J$37002,"22*",'Accounting data'!$K$2:$K$37002,"68*")</f>
        <v>0</v>
      </c>
      <c r="N38" s="550">
        <f>[1]!CIP1072P265F2200</f>
        <v>0</v>
      </c>
      <c r="O38" s="552">
        <f t="shared" ref="O38:O43" si="2">SUM(I38:M38)</f>
        <v>0</v>
      </c>
      <c r="P38" s="196"/>
      <c r="Q38" s="200">
        <v>20</v>
      </c>
    </row>
    <row r="39" spans="1:17" ht="12" customHeight="1" x14ac:dyDescent="0.2">
      <c r="A39" s="89"/>
      <c r="C39" t="s">
        <v>201</v>
      </c>
      <c r="E39" s="184">
        <v>21</v>
      </c>
      <c r="F39" s="196"/>
      <c r="G39" s="651"/>
      <c r="H39" s="197"/>
      <c r="I39" s="552">
        <f>SUMIFS('Accounting data'!$G$2:$G$37002,'Accounting data'!$H$2:$H$37002,"1072*",'Accounting data'!$I$2:$I$37002,"265*",'Accounting data'!$J$2:$J$37002,"23*",'Accounting data'!$K$2:$K$37002,"61*")</f>
        <v>0</v>
      </c>
      <c r="J39" s="552">
        <f>SUMIFS('Accounting data'!$G$2:$G$37002,'Accounting data'!$H$2:$H$37002,"1072*",'Accounting data'!$I$2:$I$37002,"265*",'Accounting data'!$J$2:$J$37002,"23*",'Accounting data'!$K$2:$K$37002,"62*")</f>
        <v>0</v>
      </c>
      <c r="K39" s="552">
        <f>SUMIFS('Accounting data'!$G$2:$G$37002,'Accounting data'!$H$2:$H$37002,"1072*",'Accounting data'!$I$2:$I$37002,"265*",'Accounting data'!$J$2:$J$37002,"23*",'Accounting data'!$K$2:$K$37002,"63*")</f>
        <v>0</v>
      </c>
      <c r="L39" s="552">
        <f>SUMIFS('Accounting data'!$G$2:$G$37002,'Accounting data'!$H$2:$H$37002,"1072*",'Accounting data'!$I$2:$I$37002,"265*",'Accounting data'!$J$2:$J$37002,"23*",'Accounting data'!$K$2:$K$37002,"66*")</f>
        <v>0</v>
      </c>
      <c r="M39" s="552">
        <f>SUMIFS('Accounting data'!$G$2:$G$37002,'Accounting data'!$H$2:$H$37002,"1072*",'Accounting data'!$I$2:$I$37002,"265*",'Accounting data'!$J$2:$J$37002,"23*",'Accounting data'!$K$2:$K$37002,"68*")</f>
        <v>0</v>
      </c>
      <c r="N39" s="550">
        <f>[1]!CIP1072P265F2300</f>
        <v>0</v>
      </c>
      <c r="O39" s="552">
        <f t="shared" si="2"/>
        <v>0</v>
      </c>
      <c r="P39" s="196"/>
      <c r="Q39" s="200">
        <v>21</v>
      </c>
    </row>
    <row r="40" spans="1:17" ht="12" customHeight="1" x14ac:dyDescent="0.2">
      <c r="A40" s="89"/>
      <c r="C40" t="s">
        <v>202</v>
      </c>
      <c r="E40" s="184">
        <v>22</v>
      </c>
      <c r="F40" s="196"/>
      <c r="G40" s="651"/>
      <c r="H40" s="197"/>
      <c r="I40" s="552">
        <f>SUMIFS('Accounting data'!$G$2:$G$37002,'Accounting data'!$H$2:$H$37002,"1072*",'Accounting data'!$I$2:$I$37002,"265*",'Accounting data'!$J$2:$J$37002,"24*",'Accounting data'!$K$2:$K$37002,"61*")</f>
        <v>0</v>
      </c>
      <c r="J40" s="552">
        <f>SUMIFS('Accounting data'!$G$2:$G$37002,'Accounting data'!$H$2:$H$37002,"1072*",'Accounting data'!$I$2:$I$37002,"265*",'Accounting data'!$J$2:$J$37002,"24*",'Accounting data'!$K$2:$K$37002,"62*")</f>
        <v>0</v>
      </c>
      <c r="K40" s="552">
        <f>SUMIFS('Accounting data'!$G$2:$G$37002,'Accounting data'!$H$2:$H$37002,"1072*",'Accounting data'!$I$2:$I$37002,"265*",'Accounting data'!$J$2:$J$37002,"24*",'Accounting data'!$K$2:$K$37002,"63*")</f>
        <v>0</v>
      </c>
      <c r="L40" s="552">
        <f>SUMIFS('Accounting data'!$G$2:$G$37002,'Accounting data'!$H$2:$H$37002,"1072*",'Accounting data'!$I$2:$I$37002,"265*",'Accounting data'!$J$2:$J$37002,"24*",'Accounting data'!$K$2:$K$37002,"66*")</f>
        <v>0</v>
      </c>
      <c r="M40" s="552">
        <f>SUMIFS('Accounting data'!$G$2:$G$37002,'Accounting data'!$H$2:$H$37002,"1072*",'Accounting data'!$I$2:$I$37002,"265*",'Accounting data'!$J$2:$J$37002,"24*",'Accounting data'!$K$2:$K$37002,"68*")</f>
        <v>0</v>
      </c>
      <c r="N40" s="550">
        <f>[1]!CIP1072P265F2400</f>
        <v>0</v>
      </c>
      <c r="O40" s="552">
        <f t="shared" si="2"/>
        <v>0</v>
      </c>
      <c r="P40" s="196"/>
      <c r="Q40" s="200">
        <v>22</v>
      </c>
    </row>
    <row r="41" spans="1:17" ht="12" customHeight="1" x14ac:dyDescent="0.2">
      <c r="A41" s="89"/>
      <c r="C41" t="s">
        <v>203</v>
      </c>
      <c r="E41" s="184">
        <v>23</v>
      </c>
      <c r="F41" s="196"/>
      <c r="G41" s="651"/>
      <c r="H41" s="197"/>
      <c r="I41" s="552">
        <f>SUMIFS('Accounting data'!$G$2:$G$37002,'Accounting data'!$H$2:$H$37002,"1072*",'Accounting data'!$I$2:$I$37002,"265*",'Accounting data'!$J$2:$J$37002,"25*",'Accounting data'!$K$2:$K$37002,"61*")</f>
        <v>0</v>
      </c>
      <c r="J41" s="552">
        <f>SUMIFS('Accounting data'!$G$2:$G$37002,'Accounting data'!$H$2:$H$37002,"1072*",'Accounting data'!$I$2:$I$37002,"265*",'Accounting data'!$J$2:$J$37002,"25*",'Accounting data'!$K$2:$K$37002,"62*")</f>
        <v>0</v>
      </c>
      <c r="K41" s="552">
        <f>SUMIFS('Accounting data'!$G$2:$G$37002,'Accounting data'!$H$2:$H$37002,"1072*",'Accounting data'!$I$2:$I$37002,"265*",'Accounting data'!$J$2:$J$37002,"25*",'Accounting data'!$K$2:$K$37002,"63*")</f>
        <v>0</v>
      </c>
      <c r="L41" s="552">
        <f>SUMIFS('Accounting data'!$G$2:$G$37002,'Accounting data'!$H$2:$H$37002,"1072*",'Accounting data'!$I$2:$I$37002,"265*",'Accounting data'!$J$2:$J$37002,"25*",'Accounting data'!$K$2:$K$37002,"66*")</f>
        <v>0</v>
      </c>
      <c r="M41" s="552">
        <f>SUMIFS('Accounting data'!$G$2:$G$37002,'Accounting data'!$H$2:$H$37002,"1072*",'Accounting data'!$I$2:$I$37002,"265*",'Accounting data'!$J$2:$J$37002,"25*",'Accounting data'!$K$2:$K$37002,"68*")</f>
        <v>0</v>
      </c>
      <c r="N41" s="550">
        <f>[1]!CIP1072P265F2500</f>
        <v>0</v>
      </c>
      <c r="O41" s="552">
        <f t="shared" si="2"/>
        <v>0</v>
      </c>
      <c r="P41" s="196"/>
      <c r="Q41" s="200">
        <v>23</v>
      </c>
    </row>
    <row r="42" spans="1:17" ht="12" customHeight="1" x14ac:dyDescent="0.2">
      <c r="A42" s="89"/>
      <c r="C42" t="s">
        <v>204</v>
      </c>
      <c r="E42" s="184">
        <v>24</v>
      </c>
      <c r="F42" s="196"/>
      <c r="G42" s="651"/>
      <c r="H42" s="197"/>
      <c r="I42" s="552">
        <f>SUMIFS('Accounting data'!$G$2:$G$37002,'Accounting data'!$H$2:$H$37002,"1072*",'Accounting data'!$I$2:$I$37002,"265*",'Accounting data'!$J$2:$J$37002,"26*",'Accounting data'!$K$2:$K$37002,"61*")</f>
        <v>0</v>
      </c>
      <c r="J42" s="552">
        <f>SUMIFS('Accounting data'!$G$2:$G$37002,'Accounting data'!$H$2:$H$37002,"1072*",'Accounting data'!$I$2:$I$37002,"265*",'Accounting data'!$J$2:$J$37002,"26*",'Accounting data'!$K$2:$K$37002,"62*")</f>
        <v>0</v>
      </c>
      <c r="K42" s="552">
        <f>SUMIFS('Accounting data'!$G$2:$G$37002,'Accounting data'!$H$2:$H$37002,"1072*",'Accounting data'!$I$2:$I$37002,"265*",'Accounting data'!$J$2:$J$37002,"26*",'Accounting data'!$K$2:$K$37002,"63*")</f>
        <v>0</v>
      </c>
      <c r="L42" s="552">
        <f>SUMIFS('Accounting data'!$G$2:$G$37002,'Accounting data'!$H$2:$H$37002,"1072*",'Accounting data'!$I$2:$I$37002,"265*",'Accounting data'!$J$2:$J$37002,"26*",'Accounting data'!$K$2:$K$37002,"66*")</f>
        <v>0</v>
      </c>
      <c r="M42" s="552">
        <f>SUMIFS('Accounting data'!$G$2:$G$37002,'Accounting data'!$H$2:$H$37002,"1072*",'Accounting data'!$I$2:$I$37002,"265*",'Accounting data'!$J$2:$J$37002,"26*",'Accounting data'!$K$2:$K$37002,"68*")</f>
        <v>0</v>
      </c>
      <c r="N42" s="550">
        <f>[1]!CIP1072P265F2600</f>
        <v>0</v>
      </c>
      <c r="O42" s="552">
        <f t="shared" si="2"/>
        <v>0</v>
      </c>
      <c r="P42" s="196"/>
      <c r="Q42" s="200">
        <v>24</v>
      </c>
    </row>
    <row r="43" spans="1:17" ht="12" customHeight="1" x14ac:dyDescent="0.2">
      <c r="A43" s="89"/>
      <c r="C43" t="s">
        <v>205</v>
      </c>
      <c r="E43" s="184">
        <v>25</v>
      </c>
      <c r="F43" s="196"/>
      <c r="G43" s="651"/>
      <c r="H43" s="197"/>
      <c r="I43" s="552">
        <f>SUMIFS('Accounting data'!$G$2:$G$37002,'Accounting data'!$H$2:$H$37002,"1072*",'Accounting data'!$I$2:$I$37002,"265*",'Accounting data'!$J$2:$J$37002,"29*",'Accounting data'!$K$2:$K$37002,"61*")</f>
        <v>0</v>
      </c>
      <c r="J43" s="552">
        <f>SUMIFS('Accounting data'!$G$2:$G$37002,'Accounting data'!$H$2:$H$37002,"1072*",'Accounting data'!$I$2:$I$37002,"265*",'Accounting data'!$J$2:$J$37002,"29*",'Accounting data'!$K$2:$K$37002,"62*")</f>
        <v>0</v>
      </c>
      <c r="K43" s="552">
        <f>SUMIFS('Accounting data'!$G$2:$G$37002,'Accounting data'!$H$2:$H$37002,"1072*",'Accounting data'!$I$2:$I$37002,"265*",'Accounting data'!$J$2:$J$37002,"29*",'Accounting data'!$K$2:$K$37002,"63*")</f>
        <v>0</v>
      </c>
      <c r="L43" s="552">
        <f>SUMIFS('Accounting data'!$G$2:$G$37002,'Accounting data'!$H$2:$H$37002,"1072*",'Accounting data'!$I$2:$I$37002,"265*",'Accounting data'!$J$2:$J$37002,"29*",'Accounting data'!$K$2:$K$37002,"66*")</f>
        <v>0</v>
      </c>
      <c r="M43" s="552">
        <f>SUMIFS('Accounting data'!$G$2:$G$37002,'Accounting data'!$H$2:$H$37002,"1072*",'Accounting data'!$I$2:$I$37002,"265*",'Accounting data'!$J$2:$J$37002,"29*",'Accounting data'!$K$2:$K$37002,"68*")</f>
        <v>0</v>
      </c>
      <c r="N43" s="550">
        <f>[1]!CIP1072P265F2900</f>
        <v>0</v>
      </c>
      <c r="O43" s="552">
        <f t="shared" si="2"/>
        <v>0</v>
      </c>
      <c r="P43" s="196"/>
      <c r="Q43" s="200">
        <v>25</v>
      </c>
    </row>
    <row r="44" spans="1:17" ht="12" customHeight="1" x14ac:dyDescent="0.2">
      <c r="A44" s="93"/>
      <c r="B44" s="6" t="s">
        <v>213</v>
      </c>
      <c r="C44" s="6"/>
      <c r="D44" s="6"/>
      <c r="E44" s="180">
        <v>26</v>
      </c>
      <c r="F44" s="196"/>
      <c r="G44" s="651"/>
      <c r="H44" s="197"/>
      <c r="I44" s="207">
        <f>SUM(I35:I43)</f>
        <v>0</v>
      </c>
      <c r="J44" s="207">
        <f t="shared" ref="J44:M44" si="3">SUM(J35:J43)</f>
        <v>0</v>
      </c>
      <c r="K44" s="207">
        <f>SUM(K35:K43)</f>
        <v>0</v>
      </c>
      <c r="L44" s="207">
        <f>SUM(L35:L43)</f>
        <v>0</v>
      </c>
      <c r="M44" s="207">
        <f t="shared" si="3"/>
        <v>0</v>
      </c>
      <c r="N44" s="207">
        <f>SUM(N35:N43)</f>
        <v>0</v>
      </c>
      <c r="O44" s="207">
        <f>SUM(O35:O43)</f>
        <v>0</v>
      </c>
      <c r="P44" s="196"/>
      <c r="Q44" s="200">
        <v>26</v>
      </c>
    </row>
    <row r="45" spans="1:17" ht="12" customHeight="1" x14ac:dyDescent="0.2">
      <c r="A45" s="89" t="s">
        <v>214</v>
      </c>
      <c r="E45" s="184"/>
      <c r="F45" s="188"/>
      <c r="G45" s="648"/>
      <c r="H45" s="838"/>
      <c r="I45" s="146"/>
      <c r="J45" s="146"/>
      <c r="K45" s="146"/>
      <c r="L45" s="146"/>
      <c r="M45" s="146"/>
      <c r="N45" s="146"/>
      <c r="O45" s="146"/>
      <c r="P45" s="188"/>
      <c r="Q45" s="200"/>
    </row>
    <row r="46" spans="1:17" ht="12" customHeight="1" x14ac:dyDescent="0.2">
      <c r="A46" s="89"/>
      <c r="B46" t="s">
        <v>198</v>
      </c>
      <c r="E46" s="184"/>
      <c r="F46" s="191"/>
      <c r="G46" s="649"/>
      <c r="H46" s="839"/>
      <c r="I46" s="192"/>
      <c r="J46" s="192"/>
      <c r="K46" s="192"/>
      <c r="L46" s="192"/>
      <c r="M46" s="192"/>
      <c r="N46" s="192"/>
      <c r="O46" s="192"/>
      <c r="P46" s="191"/>
      <c r="Q46" s="200"/>
    </row>
    <row r="47" spans="1:17" ht="12" customHeight="1" x14ac:dyDescent="0.2">
      <c r="A47" s="89"/>
      <c r="C47" t="s">
        <v>208</v>
      </c>
      <c r="E47" s="184">
        <v>27</v>
      </c>
      <c r="F47" s="191"/>
      <c r="G47" s="649"/>
      <c r="H47" s="839"/>
      <c r="I47" s="557">
        <f>SUMIFS('Accounting data'!$G$2:$G$37002,'Accounting data'!$H$2:$H$37002,"1072*",'Accounting data'!$I$2:$I$37002,"435*",'Accounting data'!$J$2:$J$37002,"27*",'Accounting data'!$K$2:$K$37002,"61*")</f>
        <v>0</v>
      </c>
      <c r="J47" s="557">
        <f>SUMIFS('Accounting data'!$G$2:$G$37002,'Accounting data'!$H$2:$H$37002,"1072*",'Accounting data'!$I$2:$I$37002,"435*",'Accounting data'!$J$2:$J$37002,"27*",'Accounting data'!$K$2:$K$37002,"62*")</f>
        <v>0</v>
      </c>
      <c r="K47" s="557">
        <f>SUMIFS('Accounting data'!$G$2:$G$37002,'Accounting data'!$H$2:$H$37002,"1072*",'Accounting data'!$I$2:$I$37002,"435*",'Accounting data'!$J$2:$J$37002,"27*",'Accounting data'!$K$2:$K$37002,"63*")</f>
        <v>0</v>
      </c>
      <c r="L47" s="557">
        <f>SUMIFS('Accounting data'!$G$2:$G$37002,'Accounting data'!$H$2:$H$37002,"1072*",'Accounting data'!$I$2:$I$37002,"435*",'Accounting data'!$J$2:$J$37002,"27*",'Accounting data'!$K$2:$K$37002,"66*")</f>
        <v>0</v>
      </c>
      <c r="M47" s="557">
        <f>SUMIFS('Accounting data'!$G$2:$G$37002,'Accounting data'!$H$2:$H$37002,"1072*",'Accounting data'!$I$2:$I$37002,"435*",'Accounting data'!$J$2:$J$37002,"27*",'Accounting data'!$K$2:$K$37002,"68*")</f>
        <v>0</v>
      </c>
      <c r="N47" s="557">
        <f>[1]!CIP1072P435F2700</f>
        <v>0</v>
      </c>
      <c r="O47" s="557">
        <f>SUM(I47:M47)</f>
        <v>0</v>
      </c>
      <c r="P47" s="191"/>
      <c r="Q47" s="200">
        <v>27</v>
      </c>
    </row>
    <row r="48" spans="1:17" ht="12" customHeight="1" x14ac:dyDescent="0.2">
      <c r="A48" s="99" t="s">
        <v>215</v>
      </c>
      <c r="B48" s="100"/>
      <c r="C48" s="100"/>
      <c r="D48" s="100"/>
      <c r="E48" s="201">
        <v>28</v>
      </c>
      <c r="F48" s="550">
        <f>[2]!CIP1072EndBal</f>
        <v>0</v>
      </c>
      <c r="G48" s="54">
        <v>0</v>
      </c>
      <c r="H48" s="552">
        <f>H32</f>
        <v>0</v>
      </c>
      <c r="I48" s="557">
        <f t="shared" ref="I48:M48" si="4">SUM(I44:I47)</f>
        <v>0</v>
      </c>
      <c r="J48" s="557">
        <f t="shared" si="4"/>
        <v>0</v>
      </c>
      <c r="K48" s="557">
        <f t="shared" si="4"/>
        <v>0</v>
      </c>
      <c r="L48" s="557">
        <f t="shared" si="4"/>
        <v>0</v>
      </c>
      <c r="M48" s="557">
        <f t="shared" si="4"/>
        <v>0</v>
      </c>
      <c r="N48" s="552">
        <f>SUM(N44:N47)</f>
        <v>0</v>
      </c>
      <c r="O48" s="552">
        <f>SUM(O44:O47)</f>
        <v>0</v>
      </c>
      <c r="P48" s="552">
        <f>IF(G48="",F48,G48)+H48-O48</f>
        <v>0</v>
      </c>
      <c r="Q48" s="200">
        <v>28</v>
      </c>
    </row>
  </sheetData>
  <sheetProtection sheet="1" formatCells="0" formatColumns="0" formatRows="0"/>
  <mergeCells count="31">
    <mergeCell ref="H45:H47"/>
    <mergeCell ref="N28:N29"/>
    <mergeCell ref="O28:O29"/>
    <mergeCell ref="P28:P29"/>
    <mergeCell ref="O14:O15"/>
    <mergeCell ref="H28:H29"/>
    <mergeCell ref="H36:H37"/>
    <mergeCell ref="I28:I29"/>
    <mergeCell ref="J28:J29"/>
    <mergeCell ref="K28:K29"/>
    <mergeCell ref="L28:L29"/>
    <mergeCell ref="M28:M29"/>
    <mergeCell ref="P6:P7"/>
    <mergeCell ref="H11:H13"/>
    <mergeCell ref="H23:H25"/>
    <mergeCell ref="H14:H15"/>
    <mergeCell ref="H6:H7"/>
    <mergeCell ref="L6:L7"/>
    <mergeCell ref="M6:M7"/>
    <mergeCell ref="F28:F29"/>
    <mergeCell ref="F6:F7"/>
    <mergeCell ref="N3:O3"/>
    <mergeCell ref="N14:N15"/>
    <mergeCell ref="N6:N7"/>
    <mergeCell ref="D1:E1"/>
    <mergeCell ref="K1:L1"/>
    <mergeCell ref="A27:M27"/>
    <mergeCell ref="I6:I7"/>
    <mergeCell ref="J6:J7"/>
    <mergeCell ref="K6:K7"/>
    <mergeCell ref="G3:G5"/>
  </mergeCells>
  <conditionalFormatting sqref="G26">
    <cfRule type="containsBlanks" dxfId="65" priority="2">
      <formula>LEN(TRIM(G26))=0</formula>
    </cfRule>
  </conditionalFormatting>
  <conditionalFormatting sqref="G48">
    <cfRule type="containsBlanks" dxfId="64" priority="1">
      <formula>LEN(TRIM(G48))=0</formula>
    </cfRule>
  </conditionalFormatting>
  <hyperlinks>
    <hyperlink ref="G3" location="Page5AdjBeginProjBal" display="Adjusted"/>
  </hyperlinks>
  <pageMargins left="0.7" right="0.7" top="0.75" bottom="0.75" header="0.3" footer="0.3"/>
  <pageSetup paperSize="5" scale="91" orientation="landscape" r:id="rId1"/>
  <headerFooter>
    <oddFooter>&amp;LRev. 8/25 Arizona Department of Education and Auditor General&amp;CFY 2025
No assurance provided.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41"/>
  <sheetViews>
    <sheetView showGridLines="0" topLeftCell="A10" zoomScale="87" workbookViewId="0">
      <selection activeCell="Q34" sqref="Q33:R34"/>
    </sheetView>
  </sheetViews>
  <sheetFormatPr defaultColWidth="9.33203125" defaultRowHeight="12.75" x14ac:dyDescent="0.2"/>
  <cols>
    <col min="1" max="1" width="3.83203125" customWidth="1"/>
    <col min="2" max="2" width="33.33203125" customWidth="1"/>
    <col min="3" max="3" width="2" customWidth="1"/>
    <col min="4" max="4" width="16" customWidth="1"/>
    <col min="5" max="5" width="3" customWidth="1"/>
    <col min="6" max="6" width="12.83203125" customWidth="1"/>
    <col min="7" max="7" width="13" customWidth="1"/>
    <col min="8" max="9" width="3.83203125" customWidth="1"/>
    <col min="10" max="10" width="2.33203125" customWidth="1"/>
    <col min="11" max="11" width="11" customWidth="1"/>
    <col min="12" max="12" width="18.6640625" customWidth="1"/>
    <col min="13" max="13" width="6.33203125" customWidth="1"/>
    <col min="14" max="14" width="5.33203125" customWidth="1"/>
    <col min="15" max="15" width="7.33203125" customWidth="1"/>
    <col min="16" max="16" width="6.83203125" customWidth="1"/>
    <col min="17" max="17" width="9" customWidth="1"/>
    <col min="18" max="18" width="15.83203125" customWidth="1"/>
    <col min="19" max="19" width="15" customWidth="1"/>
    <col min="20" max="20" width="15.33203125" customWidth="1"/>
    <col min="21" max="21" width="12.83203125" customWidth="1"/>
    <col min="22" max="22" width="15.83203125" customWidth="1"/>
    <col min="23" max="23" width="9.33203125" customWidth="1"/>
  </cols>
  <sheetData>
    <row r="1" spans="1:27" ht="12" customHeight="1" x14ac:dyDescent="0.2">
      <c r="A1" s="549" t="s">
        <v>0</v>
      </c>
      <c r="C1" s="806" t="str">
        <f>'Cover Page'!D1</f>
        <v>Eduprize Schools LLC</v>
      </c>
      <c r="D1" s="806"/>
      <c r="E1" s="806"/>
      <c r="F1" s="806"/>
      <c r="H1" t="s">
        <v>20</v>
      </c>
      <c r="I1" s="549" t="s">
        <v>1</v>
      </c>
      <c r="L1" s="1" t="str">
        <f>'Cover Page'!M1</f>
        <v>Pinal</v>
      </c>
      <c r="T1" s="62" t="s">
        <v>2</v>
      </c>
      <c r="U1" s="208" t="str">
        <f>'Cover Page'!R1</f>
        <v>078687000</v>
      </c>
    </row>
    <row r="2" spans="1:27" hidden="1" x14ac:dyDescent="0.2">
      <c r="T2" s="69"/>
      <c r="U2" s="69"/>
    </row>
    <row r="3" spans="1:27" x14ac:dyDescent="0.2">
      <c r="V3" s="154"/>
    </row>
    <row r="4" spans="1:27" x14ac:dyDescent="0.2">
      <c r="A4" s="209" t="s">
        <v>216</v>
      </c>
      <c r="B4" s="69"/>
      <c r="C4" s="69"/>
      <c r="D4" s="69"/>
      <c r="E4" s="69"/>
      <c r="F4" s="69"/>
      <c r="G4" s="69"/>
      <c r="H4" s="69"/>
      <c r="I4" s="69"/>
      <c r="J4" s="69"/>
      <c r="K4" s="69"/>
      <c r="L4" s="69"/>
      <c r="M4" s="69"/>
      <c r="N4" s="69"/>
      <c r="O4" s="69"/>
      <c r="P4" s="69"/>
      <c r="Q4" s="69"/>
      <c r="R4" s="69"/>
      <c r="S4" s="69"/>
      <c r="T4" s="69"/>
      <c r="U4" s="69"/>
    </row>
    <row r="5" spans="1:27" x14ac:dyDescent="0.2">
      <c r="B5" s="691" t="s">
        <v>724</v>
      </c>
      <c r="D5" s="680" t="s">
        <v>1310</v>
      </c>
      <c r="F5" s="680" t="s">
        <v>1311</v>
      </c>
    </row>
    <row r="6" spans="1:27" x14ac:dyDescent="0.2">
      <c r="A6" t="s">
        <v>217</v>
      </c>
      <c r="B6" t="s">
        <v>218</v>
      </c>
      <c r="C6" s="7" t="s">
        <v>16</v>
      </c>
      <c r="D6" s="210">
        <f>[2]!CashBal</f>
        <v>2571655</v>
      </c>
      <c r="E6" s="7" t="s">
        <v>16</v>
      </c>
      <c r="F6" s="58">
        <v>1786969</v>
      </c>
      <c r="I6" t="s">
        <v>219</v>
      </c>
      <c r="J6" s="211" t="s">
        <v>24</v>
      </c>
      <c r="K6" s="212" t="s">
        <v>220</v>
      </c>
      <c r="L6" s="655"/>
      <c r="M6" s="654"/>
      <c r="N6" s="655"/>
      <c r="O6" s="654"/>
      <c r="P6" s="213"/>
      <c r="Q6" s="214"/>
      <c r="T6" s="27">
        <f>87+97</f>
        <v>184</v>
      </c>
      <c r="U6" s="801"/>
      <c r="V6" s="801"/>
      <c r="W6" s="801"/>
      <c r="X6" s="801"/>
      <c r="Y6" s="801"/>
      <c r="Z6" s="801"/>
      <c r="AA6" s="801"/>
    </row>
    <row r="7" spans="1:27" x14ac:dyDescent="0.2">
      <c r="D7" s="216"/>
      <c r="F7" s="216"/>
      <c r="J7" s="211" t="s">
        <v>26</v>
      </c>
      <c r="K7" s="212" t="s">
        <v>221</v>
      </c>
      <c r="L7" s="655"/>
      <c r="M7" s="654"/>
      <c r="N7" s="655"/>
      <c r="O7" s="654"/>
      <c r="P7" s="213"/>
      <c r="Q7" s="214"/>
      <c r="T7" s="27">
        <v>4</v>
      </c>
      <c r="AA7" s="217" t="str">
        <f>IF(OR(CashBal="",F9="",G9="",F10="",G10="",G14="",G15="",G16="",G17="",G18="",G19="",F23="",F24="",F25="",F26="",F27="",F28="",G33="",G34="",G35="",G36="",G38="",G40=""),"yes","")</f>
        <v/>
      </c>
    </row>
    <row r="8" spans="1:27" x14ac:dyDescent="0.2">
      <c r="A8" t="s">
        <v>222</v>
      </c>
      <c r="B8" s="212" t="s">
        <v>223</v>
      </c>
      <c r="C8" s="7"/>
      <c r="E8" s="7"/>
      <c r="F8" s="581" t="s">
        <v>98</v>
      </c>
      <c r="G8" s="581" t="s">
        <v>23</v>
      </c>
      <c r="J8" s="211" t="s">
        <v>28</v>
      </c>
      <c r="K8" s="212" t="s">
        <v>224</v>
      </c>
      <c r="L8" s="655"/>
      <c r="M8" s="654"/>
      <c r="N8" s="655"/>
      <c r="O8" s="654"/>
      <c r="P8" s="213"/>
      <c r="Q8" s="214"/>
      <c r="T8" s="30">
        <v>0</v>
      </c>
      <c r="AA8" s="217" t="str">
        <f>IF(OR(T6="",T7="",T8="",T9="",T10="",T11="",T12="",T13="",T29=""),"yes","")</f>
        <v/>
      </c>
    </row>
    <row r="9" spans="1:27" x14ac:dyDescent="0.2">
      <c r="B9" t="s">
        <v>225</v>
      </c>
      <c r="C9" s="7"/>
      <c r="E9" s="7"/>
      <c r="F9" s="54">
        <v>35000</v>
      </c>
      <c r="G9" s="54">
        <v>39000</v>
      </c>
      <c r="J9" s="218" t="s">
        <v>31</v>
      </c>
      <c r="K9" t="s">
        <v>226</v>
      </c>
      <c r="T9" s="28">
        <v>3</v>
      </c>
      <c r="AA9" s="217" t="str">
        <f>IF(OR(M19="",P19="",R19="",S19="",T19="",M20="",P20="",R20="",S20="",T20="",M21="",P21="",R21="",S21="",T21="",M22="",P22="",R22="",S22="",T22="",M24="",P24="",R24="",S24="",T24=""),"yes","")</f>
        <v/>
      </c>
    </row>
    <row r="10" spans="1:27" ht="13.5" thickBot="1" x14ac:dyDescent="0.25">
      <c r="B10" t="s">
        <v>227</v>
      </c>
      <c r="F10" s="57">
        <v>0</v>
      </c>
      <c r="G10" s="57">
        <v>0</v>
      </c>
      <c r="J10" s="218" t="s">
        <v>33</v>
      </c>
      <c r="K10" t="s">
        <v>228</v>
      </c>
      <c r="T10" s="27">
        <v>180</v>
      </c>
      <c r="AA10" s="217" t="str">
        <f>IF(AND(AA7="",AA8="",AA9=""),"","yes")</f>
        <v/>
      </c>
    </row>
    <row r="11" spans="1:27" ht="13.5" thickBot="1" x14ac:dyDescent="0.25">
      <c r="B11" t="s">
        <v>229</v>
      </c>
      <c r="F11" s="220">
        <f>SUM(F9:F10)</f>
        <v>35000</v>
      </c>
      <c r="G11" s="220">
        <f>SUM(G9:G10)</f>
        <v>39000</v>
      </c>
      <c r="J11" s="91" t="s">
        <v>35</v>
      </c>
      <c r="K11" t="s">
        <v>230</v>
      </c>
      <c r="S11" s="7" t="s">
        <v>16</v>
      </c>
      <c r="T11" s="28">
        <v>0</v>
      </c>
    </row>
    <row r="12" spans="1:27" ht="13.5" thickTop="1" x14ac:dyDescent="0.2">
      <c r="J12" s="91" t="s">
        <v>36</v>
      </c>
      <c r="K12" t="s">
        <v>231</v>
      </c>
      <c r="S12" s="7" t="s">
        <v>16</v>
      </c>
      <c r="T12" s="28">
        <v>0</v>
      </c>
    </row>
    <row r="13" spans="1:27" x14ac:dyDescent="0.2">
      <c r="A13" t="s">
        <v>232</v>
      </c>
      <c r="B13" s="212" t="s">
        <v>233</v>
      </c>
      <c r="F13" s="581" t="s">
        <v>98</v>
      </c>
      <c r="G13" s="581" t="s">
        <v>23</v>
      </c>
      <c r="J13" s="91" t="s">
        <v>38</v>
      </c>
      <c r="K13" t="s">
        <v>234</v>
      </c>
      <c r="S13" s="7" t="s">
        <v>16</v>
      </c>
      <c r="T13" s="574">
        <v>166900</v>
      </c>
    </row>
    <row r="14" spans="1:27" x14ac:dyDescent="0.2">
      <c r="B14" t="s">
        <v>235</v>
      </c>
      <c r="F14" s="550">
        <f>[1]!CA0181IntangibleAssets</f>
        <v>0</v>
      </c>
      <c r="G14" s="52">
        <v>0</v>
      </c>
      <c r="J14" s="91"/>
      <c r="T14" s="7"/>
      <c r="U14" s="221"/>
    </row>
    <row r="15" spans="1:27" x14ac:dyDescent="0.2">
      <c r="B15" t="s">
        <v>236</v>
      </c>
      <c r="F15" s="550">
        <f>[1]!CA0191Land</f>
        <v>0</v>
      </c>
      <c r="G15" s="52">
        <v>0</v>
      </c>
    </row>
    <row r="16" spans="1:27" ht="12.75" customHeight="1" x14ac:dyDescent="0.2">
      <c r="B16" t="s">
        <v>237</v>
      </c>
      <c r="F16" s="550">
        <f>[1]!CA0192SiteImprovements</f>
        <v>0</v>
      </c>
      <c r="G16" s="52">
        <v>0</v>
      </c>
      <c r="M16" s="845" t="s">
        <v>238</v>
      </c>
      <c r="N16" s="860"/>
      <c r="O16" s="846"/>
      <c r="P16" s="845" t="s">
        <v>239</v>
      </c>
      <c r="Q16" s="846"/>
      <c r="R16" s="222" t="s">
        <v>238</v>
      </c>
      <c r="S16" s="222" t="s">
        <v>239</v>
      </c>
      <c r="T16" s="222" t="s">
        <v>240</v>
      </c>
      <c r="V16" s="8"/>
      <c r="W16" s="8"/>
    </row>
    <row r="17" spans="1:21" ht="12.75" customHeight="1" x14ac:dyDescent="0.2">
      <c r="B17" t="s">
        <v>241</v>
      </c>
      <c r="F17" s="550">
        <f>[1]!CA0194Buildings</f>
        <v>100000</v>
      </c>
      <c r="G17" s="52">
        <v>224321</v>
      </c>
      <c r="I17" t="s">
        <v>242</v>
      </c>
      <c r="J17" s="212" t="s">
        <v>243</v>
      </c>
      <c r="K17" s="212"/>
      <c r="L17" s="212"/>
      <c r="M17" s="853" t="s">
        <v>244</v>
      </c>
      <c r="N17" s="854"/>
      <c r="O17" s="855"/>
      <c r="P17" s="853" t="s">
        <v>244</v>
      </c>
      <c r="Q17" s="855"/>
      <c r="R17" s="223" t="s">
        <v>245</v>
      </c>
      <c r="S17" s="223" t="s">
        <v>245</v>
      </c>
      <c r="T17" s="223" t="s">
        <v>244</v>
      </c>
    </row>
    <row r="18" spans="1:21" ht="12.75" customHeight="1" x14ac:dyDescent="0.2">
      <c r="B18" t="s">
        <v>246</v>
      </c>
      <c r="F18" s="550">
        <f>[1]!CA0196Equipment</f>
        <v>100000</v>
      </c>
      <c r="G18" s="52">
        <v>0</v>
      </c>
      <c r="J18" s="212" t="s">
        <v>247</v>
      </c>
      <c r="K18" s="212"/>
      <c r="L18" s="212"/>
      <c r="M18" s="856" t="s">
        <v>248</v>
      </c>
      <c r="N18" s="857"/>
      <c r="O18" s="858"/>
      <c r="P18" s="856" t="s">
        <v>249</v>
      </c>
      <c r="Q18" s="858"/>
      <c r="R18" s="224" t="s">
        <v>250</v>
      </c>
      <c r="S18" s="224" t="s">
        <v>251</v>
      </c>
      <c r="T18" s="224" t="s">
        <v>252</v>
      </c>
    </row>
    <row r="19" spans="1:21" ht="12.75" customHeight="1" thickBot="1" x14ac:dyDescent="0.25">
      <c r="B19" s="212" t="s">
        <v>253</v>
      </c>
      <c r="F19" s="219">
        <f>[1]!CA0198CIP</f>
        <v>0</v>
      </c>
      <c r="G19" s="56">
        <v>0</v>
      </c>
      <c r="J19" s="211" t="s">
        <v>24</v>
      </c>
      <c r="K19" s="212" t="s">
        <v>254</v>
      </c>
      <c r="L19" s="212"/>
      <c r="M19" s="847">
        <v>10356309</v>
      </c>
      <c r="N19" s="848"/>
      <c r="O19" s="852"/>
      <c r="P19" s="847">
        <v>1242041</v>
      </c>
      <c r="Q19" s="848"/>
      <c r="R19" s="31">
        <v>257576</v>
      </c>
      <c r="S19" s="31">
        <v>0</v>
      </c>
      <c r="T19" s="31">
        <v>0</v>
      </c>
    </row>
    <row r="20" spans="1:21" ht="13.5" customHeight="1" thickBot="1" x14ac:dyDescent="0.25">
      <c r="B20" t="s">
        <v>255</v>
      </c>
      <c r="F20" s="540">
        <f>SUM(F14:F19)</f>
        <v>200000</v>
      </c>
      <c r="G20" s="220">
        <f>SUM(G14:G19)</f>
        <v>224321</v>
      </c>
      <c r="J20" s="211" t="s">
        <v>26</v>
      </c>
      <c r="K20" s="212" t="s">
        <v>256</v>
      </c>
      <c r="L20" s="212"/>
      <c r="M20" s="847">
        <v>1272594</v>
      </c>
      <c r="N20" s="848"/>
      <c r="O20" s="852"/>
      <c r="P20" s="847">
        <v>922666</v>
      </c>
      <c r="Q20" s="848"/>
      <c r="R20" s="31">
        <v>0</v>
      </c>
      <c r="S20" s="31">
        <v>0</v>
      </c>
      <c r="T20" s="31">
        <v>0</v>
      </c>
    </row>
    <row r="21" spans="1:21" ht="13.5" thickTop="1" x14ac:dyDescent="0.2">
      <c r="J21" s="211" t="s">
        <v>28</v>
      </c>
      <c r="K21" s="212" t="s">
        <v>257</v>
      </c>
      <c r="L21" s="212"/>
      <c r="M21" s="847">
        <v>0</v>
      </c>
      <c r="N21" s="848"/>
      <c r="O21" s="852"/>
      <c r="P21" s="847">
        <v>0</v>
      </c>
      <c r="Q21" s="848"/>
      <c r="R21" s="31">
        <v>0</v>
      </c>
      <c r="S21" s="31">
        <v>0</v>
      </c>
      <c r="T21" s="31">
        <v>0</v>
      </c>
      <c r="U21" s="221"/>
    </row>
    <row r="22" spans="1:21" ht="13.5" customHeight="1" x14ac:dyDescent="0.2">
      <c r="A22" t="s">
        <v>258</v>
      </c>
      <c r="B22" s="212" t="s">
        <v>1322</v>
      </c>
      <c r="C22" s="226"/>
      <c r="D22" s="226"/>
      <c r="E22" s="212"/>
      <c r="F22" s="212"/>
      <c r="J22" s="211" t="s">
        <v>31</v>
      </c>
      <c r="K22" s="212" t="s">
        <v>259</v>
      </c>
      <c r="L22" s="212"/>
      <c r="M22" s="849">
        <v>0</v>
      </c>
      <c r="N22" s="850"/>
      <c r="O22" s="851"/>
      <c r="P22" s="847">
        <v>0</v>
      </c>
      <c r="Q22" s="852"/>
      <c r="R22" s="31">
        <v>0</v>
      </c>
      <c r="S22" s="31">
        <v>0</v>
      </c>
      <c r="T22" s="31">
        <v>0</v>
      </c>
      <c r="U22" s="221"/>
    </row>
    <row r="23" spans="1:21" ht="13.5" customHeight="1" x14ac:dyDescent="0.2">
      <c r="B23" t="s">
        <v>235</v>
      </c>
      <c r="E23" s="7" t="s">
        <v>16</v>
      </c>
      <c r="F23" s="27">
        <v>0</v>
      </c>
      <c r="J23" s="211" t="s">
        <v>33</v>
      </c>
      <c r="K23" s="861" t="s">
        <v>260</v>
      </c>
      <c r="L23" s="862"/>
      <c r="M23" s="227"/>
      <c r="N23" s="228"/>
      <c r="O23" s="229"/>
      <c r="P23" s="228"/>
      <c r="Q23" s="229"/>
      <c r="R23" s="230"/>
      <c r="S23" s="230"/>
      <c r="T23" s="230"/>
      <c r="U23" s="221"/>
    </row>
    <row r="24" spans="1:21" ht="13.5" customHeight="1" x14ac:dyDescent="0.2">
      <c r="B24" t="s">
        <v>236</v>
      </c>
      <c r="E24" s="7" t="s">
        <v>16</v>
      </c>
      <c r="F24" s="27">
        <v>0</v>
      </c>
      <c r="J24" s="231"/>
      <c r="K24" s="861"/>
      <c r="L24" s="862"/>
      <c r="M24" s="870">
        <v>74220</v>
      </c>
      <c r="N24" s="871"/>
      <c r="O24" s="872"/>
      <c r="P24" s="870">
        <v>82304</v>
      </c>
      <c r="Q24" s="871"/>
      <c r="R24" s="32">
        <v>0</v>
      </c>
      <c r="S24" s="32">
        <v>0</v>
      </c>
      <c r="T24" s="32">
        <v>0</v>
      </c>
      <c r="U24" s="221"/>
    </row>
    <row r="25" spans="1:21" ht="13.5" customHeight="1" x14ac:dyDescent="0.2">
      <c r="B25" t="s">
        <v>237</v>
      </c>
      <c r="E25" s="7" t="s">
        <v>16</v>
      </c>
      <c r="F25" s="27">
        <v>0</v>
      </c>
      <c r="M25" s="29"/>
      <c r="N25" s="29"/>
      <c r="O25" s="29"/>
      <c r="P25" s="29"/>
      <c r="Q25" s="29"/>
      <c r="R25" s="29"/>
      <c r="S25" s="29"/>
      <c r="T25" s="29"/>
      <c r="U25" s="29"/>
    </row>
    <row r="26" spans="1:21" ht="13.5" customHeight="1" x14ac:dyDescent="0.2">
      <c r="B26" t="s">
        <v>241</v>
      </c>
      <c r="E26" s="7" t="s">
        <v>16</v>
      </c>
      <c r="F26" s="28">
        <v>1146446</v>
      </c>
      <c r="M26" s="221"/>
      <c r="N26" s="221"/>
      <c r="O26" s="221"/>
      <c r="P26" s="221"/>
      <c r="Q26" s="221"/>
      <c r="R26" s="221"/>
      <c r="S26" s="221"/>
      <c r="T26" s="221"/>
      <c r="U26" s="221"/>
    </row>
    <row r="27" spans="1:21" ht="15.75" customHeight="1" thickBot="1" x14ac:dyDescent="0.25">
      <c r="B27" t="s">
        <v>246</v>
      </c>
      <c r="E27" s="7" t="s">
        <v>16</v>
      </c>
      <c r="F27" s="27">
        <v>687892</v>
      </c>
      <c r="I27" t="s">
        <v>261</v>
      </c>
      <c r="J27" s="212" t="s">
        <v>262</v>
      </c>
      <c r="K27" s="232"/>
      <c r="L27" s="232"/>
      <c r="M27" s="232"/>
      <c r="N27" s="232"/>
      <c r="O27" s="232"/>
      <c r="P27" s="232"/>
      <c r="Q27" s="232"/>
      <c r="R27" s="232"/>
      <c r="S27" s="548"/>
    </row>
    <row r="28" spans="1:21" ht="13.5" customHeight="1" thickBot="1" x14ac:dyDescent="0.3">
      <c r="B28" s="212" t="s">
        <v>253</v>
      </c>
      <c r="E28" s="7" t="s">
        <v>16</v>
      </c>
      <c r="F28" s="27">
        <v>0</v>
      </c>
      <c r="I28" s="91"/>
      <c r="K28" s="33"/>
      <c r="L28" s="671" t="s">
        <v>1312</v>
      </c>
      <c r="M28" s="233"/>
      <c r="N28" s="233"/>
      <c r="O28" s="233"/>
      <c r="P28" s="233"/>
      <c r="Q28" s="233"/>
      <c r="U28" s="548"/>
    </row>
    <row r="29" spans="1:21" ht="13.5" customHeight="1" thickBot="1" x14ac:dyDescent="0.25">
      <c r="B29" t="s">
        <v>263</v>
      </c>
      <c r="E29" s="7" t="s">
        <v>16</v>
      </c>
      <c r="F29" s="234">
        <f>SUM(F23:F28)</f>
        <v>1834338</v>
      </c>
      <c r="I29" s="91"/>
      <c r="J29" t="s">
        <v>24</v>
      </c>
      <c r="K29" s="671" t="s">
        <v>1313</v>
      </c>
      <c r="N29" s="235"/>
      <c r="S29" s="7" t="s">
        <v>16</v>
      </c>
      <c r="T29" s="59">
        <f>(6023069+6015991)/(87.09+97.79)</f>
        <v>65118</v>
      </c>
      <c r="U29" s="548"/>
    </row>
    <row r="30" spans="1:21" ht="13.5" thickTop="1" x14ac:dyDescent="0.2">
      <c r="I30" s="91"/>
      <c r="J30" t="s">
        <v>26</v>
      </c>
      <c r="K30" s="671" t="s">
        <v>1314</v>
      </c>
      <c r="L30" s="157"/>
      <c r="M30" s="157"/>
      <c r="S30" s="7" t="s">
        <v>16</v>
      </c>
      <c r="T30" s="236">
        <f>'[2]Page 6'!$T$29</f>
        <v>59043</v>
      </c>
      <c r="U30" s="548"/>
    </row>
    <row r="31" spans="1:21" x14ac:dyDescent="0.2">
      <c r="A31" t="s">
        <v>264</v>
      </c>
      <c r="B31" s="212" t="s">
        <v>265</v>
      </c>
      <c r="C31" s="212"/>
      <c r="D31" s="212"/>
      <c r="E31" s="237"/>
      <c r="J31" t="s">
        <v>28</v>
      </c>
      <c r="K31" s="671" t="s">
        <v>1315</v>
      </c>
      <c r="L31" s="157"/>
      <c r="M31" s="157"/>
      <c r="S31" s="7" t="s">
        <v>16</v>
      </c>
      <c r="T31" s="238">
        <f>T29-T30</f>
        <v>6075</v>
      </c>
      <c r="U31" s="548"/>
    </row>
    <row r="32" spans="1:21" ht="13.5" thickBot="1" x14ac:dyDescent="0.25">
      <c r="B32" t="s">
        <v>266</v>
      </c>
      <c r="F32" s="7"/>
      <c r="G32" s="29"/>
      <c r="J32" s="239" t="s">
        <v>31</v>
      </c>
      <c r="K32" t="s">
        <v>267</v>
      </c>
      <c r="L32" s="240"/>
      <c r="M32" s="240"/>
      <c r="P32" s="117"/>
      <c r="Q32" s="117"/>
      <c r="R32" s="117"/>
      <c r="S32" s="7" t="s">
        <v>16</v>
      </c>
      <c r="T32" s="241">
        <f>IF(PriorYearSalary&gt;0,T31/T30,0)</f>
        <v>0.10299999999999999</v>
      </c>
      <c r="U32" s="548"/>
    </row>
    <row r="33" spans="1:21" ht="13.5" customHeight="1" thickTop="1" x14ac:dyDescent="0.2">
      <c r="B33" t="s">
        <v>268</v>
      </c>
      <c r="F33" s="7" t="s">
        <v>16</v>
      </c>
      <c r="G33" s="27">
        <v>18182603</v>
      </c>
      <c r="H33" s="810" t="str">
        <f>IF('Page 2'!J48=0,"",IF(OR(G36&lt;=0),"The Charter did not report any current expenses for student support services on line 4. If the Charter did not have any expense, verify by checking the box in A16 on the Cover Page.",""))</f>
        <v/>
      </c>
      <c r="I33" s="810"/>
      <c r="J33" s="810"/>
      <c r="K33" s="810"/>
      <c r="L33" s="810"/>
      <c r="M33" s="810"/>
      <c r="N33" s="810"/>
      <c r="O33" s="810"/>
      <c r="P33" s="810"/>
      <c r="Q33" s="810"/>
      <c r="R33" s="810"/>
      <c r="S33" s="810"/>
      <c r="T33" s="8"/>
      <c r="U33" s="8"/>
    </row>
    <row r="34" spans="1:21" ht="13.5" customHeight="1" x14ac:dyDescent="0.2">
      <c r="B34" t="s">
        <v>269</v>
      </c>
      <c r="C34" s="237"/>
      <c r="D34" s="237"/>
      <c r="E34" s="237"/>
      <c r="F34" s="7" t="s">
        <v>16</v>
      </c>
      <c r="G34" s="27">
        <v>778230</v>
      </c>
      <c r="H34" s="810"/>
      <c r="I34" s="810"/>
      <c r="J34" s="810"/>
      <c r="K34" s="810"/>
      <c r="L34" s="810"/>
      <c r="M34" s="810"/>
      <c r="N34" s="810"/>
      <c r="O34" s="810"/>
      <c r="P34" s="810"/>
      <c r="Q34" s="810"/>
      <c r="R34" s="810"/>
      <c r="S34" s="810"/>
      <c r="T34" s="8"/>
      <c r="U34" s="8"/>
    </row>
    <row r="35" spans="1:21" x14ac:dyDescent="0.2">
      <c r="B35" t="s">
        <v>270</v>
      </c>
      <c r="C35" s="237"/>
      <c r="D35" s="237"/>
      <c r="E35" s="237"/>
      <c r="F35" s="7" t="s">
        <v>16</v>
      </c>
      <c r="G35" s="28">
        <v>2824410</v>
      </c>
      <c r="K35" t="s">
        <v>271</v>
      </c>
    </row>
    <row r="36" spans="1:21" x14ac:dyDescent="0.2">
      <c r="B36" t="s">
        <v>272</v>
      </c>
      <c r="C36" s="237"/>
      <c r="D36" s="237"/>
      <c r="E36" s="237"/>
      <c r="F36" s="7" t="s">
        <v>16</v>
      </c>
      <c r="G36" s="27">
        <v>2746966</v>
      </c>
      <c r="K36" s="864"/>
      <c r="L36" s="865"/>
      <c r="M36" s="865"/>
      <c r="N36" s="865"/>
      <c r="O36" s="865"/>
      <c r="P36" s="865"/>
      <c r="Q36" s="865"/>
      <c r="R36" s="865"/>
      <c r="S36" s="865"/>
      <c r="T36" s="866"/>
    </row>
    <row r="37" spans="1:21" ht="15" x14ac:dyDescent="0.25">
      <c r="A37" s="242"/>
      <c r="B37" t="s">
        <v>273</v>
      </c>
      <c r="E37" s="237"/>
      <c r="F37" s="7"/>
      <c r="G37" s="29"/>
      <c r="K37" s="867"/>
      <c r="L37" s="868"/>
      <c r="M37" s="868"/>
      <c r="N37" s="868"/>
      <c r="O37" s="868"/>
      <c r="P37" s="868"/>
      <c r="Q37" s="868"/>
      <c r="R37" s="868"/>
      <c r="S37" s="868"/>
      <c r="T37" s="869"/>
    </row>
    <row r="38" spans="1:21" ht="15" x14ac:dyDescent="0.25">
      <c r="A38" s="242"/>
      <c r="B38" t="s">
        <v>274</v>
      </c>
      <c r="E38" s="237"/>
      <c r="F38" s="7" t="s">
        <v>16</v>
      </c>
      <c r="G38" s="27">
        <v>3074863</v>
      </c>
      <c r="J38" s="218"/>
      <c r="K38" s="548"/>
      <c r="S38" s="7"/>
      <c r="T38" s="243"/>
    </row>
    <row r="39" spans="1:21" ht="15.75" thickBot="1" x14ac:dyDescent="0.3">
      <c r="A39" s="242"/>
      <c r="B39" s="91" t="s">
        <v>275</v>
      </c>
      <c r="F39" s="7" t="s">
        <v>16</v>
      </c>
      <c r="G39" s="234">
        <f>SUM(G33:G38)</f>
        <v>27607072</v>
      </c>
    </row>
    <row r="40" spans="1:21" ht="13.5" customHeight="1" thickTop="1" x14ac:dyDescent="0.2">
      <c r="B40" s="859" t="s">
        <v>276</v>
      </c>
      <c r="C40" s="859"/>
      <c r="D40" s="859"/>
      <c r="E40" s="859"/>
      <c r="F40" s="7" t="s">
        <v>16</v>
      </c>
      <c r="G40" s="27">
        <v>0</v>
      </c>
    </row>
    <row r="41" spans="1:21" x14ac:dyDescent="0.2">
      <c r="B41" s="863" t="s">
        <v>277</v>
      </c>
      <c r="C41" s="863"/>
      <c r="D41" s="863"/>
      <c r="E41" s="863"/>
      <c r="F41" s="7" t="s">
        <v>16</v>
      </c>
      <c r="G41" s="215">
        <f>G39-G40</f>
        <v>27607072</v>
      </c>
    </row>
  </sheetData>
  <sheetProtection sheet="1" formatCells="0" formatColumns="0" formatRows="0"/>
  <mergeCells count="23">
    <mergeCell ref="B40:E40"/>
    <mergeCell ref="U6:AA6"/>
    <mergeCell ref="M16:O16"/>
    <mergeCell ref="K23:L24"/>
    <mergeCell ref="B41:E41"/>
    <mergeCell ref="P20:Q20"/>
    <mergeCell ref="P19:Q19"/>
    <mergeCell ref="M20:O20"/>
    <mergeCell ref="M21:O21"/>
    <mergeCell ref="P17:Q17"/>
    <mergeCell ref="K36:T37"/>
    <mergeCell ref="P24:Q24"/>
    <mergeCell ref="H33:S34"/>
    <mergeCell ref="M24:O24"/>
    <mergeCell ref="P18:Q18"/>
    <mergeCell ref="M19:O19"/>
    <mergeCell ref="C1:F1"/>
    <mergeCell ref="P16:Q16"/>
    <mergeCell ref="P21:Q21"/>
    <mergeCell ref="M22:O22"/>
    <mergeCell ref="P22:Q22"/>
    <mergeCell ref="M17:O17"/>
    <mergeCell ref="M18:O18"/>
  </mergeCells>
  <conditionalFormatting sqref="F6 F9:F10">
    <cfRule type="expression" dxfId="63" priority="16" stopIfTrue="1">
      <formula>$F6=""</formula>
    </cfRule>
  </conditionalFormatting>
  <conditionalFormatting sqref="F23:F28">
    <cfRule type="expression" dxfId="62" priority="10" stopIfTrue="1">
      <formula>$F23=""</formula>
    </cfRule>
  </conditionalFormatting>
  <conditionalFormatting sqref="G9:G10">
    <cfRule type="expression" dxfId="61" priority="15" stopIfTrue="1">
      <formula>$G9=""</formula>
    </cfRule>
  </conditionalFormatting>
  <conditionalFormatting sqref="G14:G19">
    <cfRule type="expression" dxfId="60" priority="11" stopIfTrue="1">
      <formula>$G14=""</formula>
    </cfRule>
  </conditionalFormatting>
  <conditionalFormatting sqref="G33:G36 G38 G40">
    <cfRule type="expression" dxfId="59" priority="8" stopIfTrue="1">
      <formula>$G33=""</formula>
    </cfRule>
  </conditionalFormatting>
  <conditionalFormatting sqref="G36">
    <cfRule type="expression" dxfId="58" priority="9" stopIfTrue="1">
      <formula>$H$33&lt;&gt;""</formula>
    </cfRule>
  </conditionalFormatting>
  <conditionalFormatting sqref="H33">
    <cfRule type="expression" dxfId="57" priority="18" stopIfTrue="1">
      <formula>$H$33&lt;&gt;""</formula>
    </cfRule>
  </conditionalFormatting>
  <conditionalFormatting sqref="M19:T22">
    <cfRule type="expression" dxfId="56" priority="5" stopIfTrue="1">
      <formula>M19=""</formula>
    </cfRule>
  </conditionalFormatting>
  <conditionalFormatting sqref="M24:T24">
    <cfRule type="expression" dxfId="55" priority="6" stopIfTrue="1">
      <formula>M24=""</formula>
    </cfRule>
  </conditionalFormatting>
  <conditionalFormatting sqref="T6:T13">
    <cfRule type="expression" dxfId="54" priority="7" stopIfTrue="1">
      <formula>$T6=""</formula>
    </cfRule>
  </conditionalFormatting>
  <conditionalFormatting sqref="T29:T30">
    <cfRule type="expression" dxfId="53" priority="14" stopIfTrue="1">
      <formula>$T29=""</formula>
    </cfRule>
  </conditionalFormatting>
  <dataValidations count="1">
    <dataValidation type="list" allowBlank="1" showInputMessage="1" showErrorMessage="1" sqref="K28">
      <formula1>"X"</formula1>
    </dataValidation>
  </dataValidations>
  <hyperlinks>
    <hyperlink ref="B8" location="AuditServices" display="AUDIT SERVICES"/>
    <hyperlink ref="B13" location="CapitalAcquisitions" display="CAPITAL ACQUISITIONS"/>
    <hyperlink ref="B22:F22" location="InvestmentInCapitalAssets" display="INVESTMENT IN CAPITAL ASSETS AS OF JUNE 30, 2013"/>
    <hyperlink ref="B31:D31" location="CurrentExpensesByCategory" display="CURRENT EXPENSES BY CATEGORY"/>
    <hyperlink ref="J17:L18" location="TeacherSalaries" display="TEACHER SALARIES (1)"/>
    <hyperlink ref="J19:L19" location="TeacherSalariesLine1" display="1."/>
    <hyperlink ref="J20:L20" location="TeacherSalariesLine2" display="2."/>
    <hyperlink ref="J21:L21" location="TeacherSalariesLine3" display="3."/>
    <hyperlink ref="J22:L22" location="TeacherSalariesLine4" display="4."/>
    <hyperlink ref="B19" location="CapitalAcquisitionsLine5" display="5.  0198  Construction in Progress"/>
    <hyperlink ref="B28" location="InvestmentInCapitalAssetsLine5" display="5.  0198  Construction in Progress"/>
    <hyperlink ref="B40:D40" location="CurrentExpensesbyCategoryLines7and8" display="7. Current Expenses from Federal Projects, excluding those projects intended to replace local tax revenues (e.g., most Impact Aid Projects)"/>
    <hyperlink ref="B41:E41" location="CurrentExpensesbyCategoryLines7and8" display="8. Current Expenses from State and Local Projects, including those projects intended to replace local tax revenues (e.g., most Impact Aid Projects)"/>
    <hyperlink ref="K23:L24" location="TeacherSalariesLine5" display="Cocurr. Act., Athletics, &amp; Other (Program 600)"/>
    <hyperlink ref="J27:R27" location="AverageTeacherSalary" display="AVERAGE TEACHER SALARY (A.R.S. §15-189.05, as added by Laws 2018, Ch. 285, §3)"/>
    <hyperlink ref="J23" location="TeacherSalariesLine5" display="5."/>
    <hyperlink ref="B5" location="AuditServices" display="Instructions"/>
    <hyperlink ref="J6:Q8" location="FullTimeEquivalentTeachers" display="1."/>
  </hyperlinks>
  <pageMargins left="0.7" right="0.7" top="0.75" bottom="0.75" header="0.3" footer="0.3"/>
  <pageSetup paperSize="5" scale="82" orientation="landscape" r:id="rId1"/>
  <headerFooter>
    <oddFooter>&amp;LRev. 8/25 Arizona Department of Education and Auditor General&amp;CFY 2025
No assurance provided.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6"/>
  <sheetViews>
    <sheetView showGridLines="0" workbookViewId="0">
      <selection activeCell="Q34" sqref="Q33:R34"/>
    </sheetView>
  </sheetViews>
  <sheetFormatPr defaultColWidth="9.33203125" defaultRowHeight="12.75" customHeight="1" x14ac:dyDescent="0.2"/>
  <cols>
    <col min="1" max="1" width="2.83203125" customWidth="1"/>
    <col min="2" max="2" width="9.83203125" customWidth="1"/>
    <col min="3" max="3" width="10.33203125" customWidth="1"/>
    <col min="4" max="4" width="10.83203125" customWidth="1"/>
    <col min="5" max="17" width="6.83203125" customWidth="1"/>
    <col min="18" max="18" width="9.6640625" customWidth="1"/>
    <col min="19" max="19" width="10.83203125" customWidth="1"/>
    <col min="20" max="20" width="10.5" customWidth="1"/>
    <col min="21" max="22" width="11" customWidth="1"/>
    <col min="23" max="23" width="3.83203125" customWidth="1"/>
    <col min="24" max="24" width="9.33203125" customWidth="1"/>
  </cols>
  <sheetData>
    <row r="1" spans="1:27" ht="12.75" customHeight="1" x14ac:dyDescent="0.2">
      <c r="A1" s="549" t="s">
        <v>0</v>
      </c>
      <c r="D1" s="806" t="str">
        <f>'Cover Page'!D1</f>
        <v>Eduprize Schools LLC</v>
      </c>
      <c r="E1" s="806"/>
      <c r="F1" s="806"/>
      <c r="G1" s="806"/>
      <c r="K1" s="62" t="s">
        <v>1</v>
      </c>
      <c r="L1" s="806" t="str">
        <f>'Cover Page'!M1</f>
        <v>Pinal</v>
      </c>
      <c r="M1" s="806"/>
      <c r="P1" s="69"/>
      <c r="U1" s="62" t="s">
        <v>2</v>
      </c>
      <c r="V1" s="208" t="str">
        <f>'Cover Page'!R1</f>
        <v>078687000</v>
      </c>
    </row>
    <row r="2" spans="1:27" ht="12.75" customHeight="1" x14ac:dyDescent="0.2">
      <c r="Q2" s="69"/>
      <c r="T2" s="69"/>
    </row>
    <row r="3" spans="1:27" ht="12.75" customHeight="1" x14ac:dyDescent="0.2">
      <c r="A3" s="3" t="s">
        <v>278</v>
      </c>
      <c r="B3" s="4"/>
      <c r="C3" s="4"/>
      <c r="F3" s="873" t="s">
        <v>724</v>
      </c>
      <c r="G3" s="873"/>
      <c r="H3" s="873"/>
      <c r="K3" s="69"/>
      <c r="O3" s="69"/>
      <c r="P3" s="69"/>
      <c r="Q3" s="69"/>
      <c r="R3" s="69"/>
      <c r="S3" s="69"/>
      <c r="T3" s="69"/>
      <c r="U3" s="69"/>
      <c r="Y3" s="62"/>
    </row>
    <row r="4" spans="1:27" ht="6" customHeight="1" x14ac:dyDescent="0.2"/>
    <row r="5" spans="1:27" ht="12.75" customHeight="1" x14ac:dyDescent="0.2">
      <c r="A5" t="s">
        <v>279</v>
      </c>
    </row>
    <row r="6" spans="1:27" ht="12.75" customHeight="1" x14ac:dyDescent="0.2">
      <c r="E6" s="822" t="s">
        <v>280</v>
      </c>
      <c r="F6" s="835"/>
      <c r="G6" s="835"/>
      <c r="H6" s="835"/>
      <c r="I6" s="835"/>
      <c r="J6" s="835"/>
      <c r="K6" s="835"/>
      <c r="L6" s="835"/>
      <c r="M6" s="835"/>
      <c r="N6" s="835"/>
      <c r="O6" s="835"/>
      <c r="P6" s="835"/>
      <c r="Q6" s="835"/>
      <c r="R6" s="823"/>
    </row>
    <row r="7" spans="1:27" ht="12.75" customHeight="1" x14ac:dyDescent="0.2">
      <c r="B7" t="s">
        <v>281</v>
      </c>
      <c r="E7" s="581" t="s">
        <v>282</v>
      </c>
      <c r="F7" s="581">
        <v>1</v>
      </c>
      <c r="G7" s="581">
        <v>2</v>
      </c>
      <c r="H7" s="581">
        <v>3</v>
      </c>
      <c r="I7" s="581">
        <v>4</v>
      </c>
      <c r="J7" s="581">
        <v>5</v>
      </c>
      <c r="K7" s="581">
        <v>6</v>
      </c>
      <c r="L7" s="581">
        <v>7</v>
      </c>
      <c r="M7" s="581">
        <v>8</v>
      </c>
      <c r="N7" s="581">
        <v>9</v>
      </c>
      <c r="O7" s="581">
        <v>10</v>
      </c>
      <c r="P7" s="581">
        <v>11</v>
      </c>
      <c r="Q7" s="581">
        <v>12</v>
      </c>
      <c r="R7" s="581" t="s">
        <v>283</v>
      </c>
      <c r="S7" s="4"/>
      <c r="T7" s="4"/>
      <c r="AA7" s="51"/>
    </row>
    <row r="8" spans="1:27" ht="12.75" customHeight="1" x14ac:dyDescent="0.2">
      <c r="B8" t="s">
        <v>284</v>
      </c>
      <c r="E8" s="52">
        <v>0</v>
      </c>
      <c r="F8" s="52">
        <v>0</v>
      </c>
      <c r="G8" s="52">
        <v>0</v>
      </c>
      <c r="H8" s="52">
        <v>0</v>
      </c>
      <c r="I8" s="52">
        <v>0</v>
      </c>
      <c r="J8" s="52">
        <v>0</v>
      </c>
      <c r="K8" s="52">
        <v>0</v>
      </c>
      <c r="L8" s="52">
        <v>0</v>
      </c>
      <c r="M8" s="52">
        <v>0</v>
      </c>
      <c r="N8" s="52">
        <v>0</v>
      </c>
      <c r="O8" s="52">
        <v>0</v>
      </c>
      <c r="P8" s="52">
        <v>0</v>
      </c>
      <c r="Q8" s="52">
        <v>0</v>
      </c>
      <c r="R8" s="552">
        <f>SUM(E8:Q8)</f>
        <v>0</v>
      </c>
      <c r="S8" s="244" t="s">
        <v>24</v>
      </c>
      <c r="AA8" s="51" t="str">
        <f>IF(OR(E8="",F8="",G8="",H8="",I8="",J8="",K8="",L8="",M8="",N8="",O8="",P8="",Q8="",E9="",F9="",G9="",H9="",I9="",J9="",K9="",L9="",M9="",N9="",O9="",P9="",Q9=""),"yes","")</f>
        <v/>
      </c>
    </row>
    <row r="9" spans="1:27" ht="12.75" customHeight="1" x14ac:dyDescent="0.2">
      <c r="B9" t="s">
        <v>285</v>
      </c>
      <c r="E9" s="52">
        <v>0</v>
      </c>
      <c r="F9" s="52">
        <v>0</v>
      </c>
      <c r="G9" s="52">
        <v>0</v>
      </c>
      <c r="H9" s="52">
        <v>0</v>
      </c>
      <c r="I9" s="52">
        <v>0</v>
      </c>
      <c r="J9" s="52">
        <v>0</v>
      </c>
      <c r="K9" s="52">
        <v>0</v>
      </c>
      <c r="L9" s="52">
        <v>0</v>
      </c>
      <c r="M9" s="52">
        <v>0</v>
      </c>
      <c r="N9" s="52">
        <v>0</v>
      </c>
      <c r="O9" s="52">
        <v>0</v>
      </c>
      <c r="P9" s="52">
        <v>0</v>
      </c>
      <c r="Q9" s="52">
        <v>0</v>
      </c>
      <c r="R9" s="552">
        <f>SUM(E9:Q9)</f>
        <v>0</v>
      </c>
      <c r="S9" s="244" t="s">
        <v>26</v>
      </c>
      <c r="AA9" s="51" t="str">
        <f>IF(OR(E10="",F10="",G10="",H10="",I10="",J10="",K10="",L10="",M10="",N10="",O10="",P10="",Q10=""),"yes","")</f>
        <v/>
      </c>
    </row>
    <row r="10" spans="1:27" ht="12.75" customHeight="1" thickBot="1" x14ac:dyDescent="0.25">
      <c r="B10" t="s">
        <v>286</v>
      </c>
      <c r="E10" s="56">
        <v>0</v>
      </c>
      <c r="F10" s="56">
        <v>0</v>
      </c>
      <c r="G10" s="56">
        <v>0</v>
      </c>
      <c r="H10" s="56">
        <v>0</v>
      </c>
      <c r="I10" s="56">
        <v>0</v>
      </c>
      <c r="J10" s="56">
        <v>0</v>
      </c>
      <c r="K10" s="56">
        <v>0</v>
      </c>
      <c r="L10" s="56">
        <v>0</v>
      </c>
      <c r="M10" s="56">
        <v>0</v>
      </c>
      <c r="N10" s="56">
        <v>0</v>
      </c>
      <c r="O10" s="56">
        <v>0</v>
      </c>
      <c r="P10" s="56">
        <v>0</v>
      </c>
      <c r="Q10" s="56">
        <v>0</v>
      </c>
      <c r="R10" s="225">
        <f>SUM(E10:Q10)</f>
        <v>0</v>
      </c>
      <c r="S10" s="244" t="s">
        <v>28</v>
      </c>
      <c r="AA10" s="51"/>
    </row>
    <row r="11" spans="1:27" ht="12.75" customHeight="1" x14ac:dyDescent="0.2">
      <c r="B11" t="s">
        <v>287</v>
      </c>
      <c r="E11" s="874">
        <f t="shared" ref="E11:Q11" si="0">SUM(E8:E10)</f>
        <v>0</v>
      </c>
      <c r="F11" s="874">
        <f t="shared" si="0"/>
        <v>0</v>
      </c>
      <c r="G11" s="874">
        <f t="shared" si="0"/>
        <v>0</v>
      </c>
      <c r="H11" s="874">
        <f t="shared" si="0"/>
        <v>0</v>
      </c>
      <c r="I11" s="874">
        <f t="shared" si="0"/>
        <v>0</v>
      </c>
      <c r="J11" s="874">
        <f t="shared" ref="J11" si="1">SUM(J8:J10)</f>
        <v>0</v>
      </c>
      <c r="K11" s="874">
        <f t="shared" si="0"/>
        <v>0</v>
      </c>
      <c r="L11" s="874">
        <f t="shared" si="0"/>
        <v>0</v>
      </c>
      <c r="M11" s="874">
        <f>SUM(M8:M10)</f>
        <v>0</v>
      </c>
      <c r="N11" s="874">
        <f t="shared" si="0"/>
        <v>0</v>
      </c>
      <c r="O11" s="874">
        <f t="shared" si="0"/>
        <v>0</v>
      </c>
      <c r="P11" s="874">
        <f t="shared" si="0"/>
        <v>0</v>
      </c>
      <c r="Q11" s="874">
        <f t="shared" si="0"/>
        <v>0</v>
      </c>
      <c r="R11" s="874">
        <f>SUM(E11:Q11)</f>
        <v>0</v>
      </c>
      <c r="S11" s="244"/>
      <c r="AA11" s="51" t="str">
        <f>IF(OR(D17="",D18="",T16="",T17="",T18="",T19="",T20="",T21="",T22="",T25=""),"yes","")</f>
        <v/>
      </c>
    </row>
    <row r="12" spans="1:27" ht="13.5" thickBot="1" x14ac:dyDescent="0.25">
      <c r="B12" t="s">
        <v>288</v>
      </c>
      <c r="E12" s="875"/>
      <c r="F12" s="875"/>
      <c r="G12" s="875"/>
      <c r="H12" s="875"/>
      <c r="I12" s="875"/>
      <c r="J12" s="875"/>
      <c r="K12" s="875"/>
      <c r="L12" s="875"/>
      <c r="M12" s="875"/>
      <c r="N12" s="875"/>
      <c r="O12" s="875"/>
      <c r="P12" s="875"/>
      <c r="Q12" s="875"/>
      <c r="R12" s="875"/>
      <c r="S12" s="244" t="s">
        <v>31</v>
      </c>
      <c r="AA12" s="51" t="str">
        <f>IF(AND(AA8="",AA9="",AA11=""),"","yes")</f>
        <v/>
      </c>
    </row>
    <row r="13" spans="1:27" ht="16.5" customHeight="1" thickTop="1" x14ac:dyDescent="0.2">
      <c r="AA13" s="51"/>
    </row>
    <row r="14" spans="1:27" ht="12.75" customHeight="1" x14ac:dyDescent="0.2">
      <c r="A14" s="876" t="s">
        <v>289</v>
      </c>
      <c r="B14" s="876"/>
      <c r="C14" s="876"/>
      <c r="D14" s="876"/>
      <c r="E14" s="876"/>
      <c r="G14" s="245"/>
      <c r="AA14" s="51"/>
    </row>
    <row r="15" spans="1:27" ht="25.9" customHeight="1" x14ac:dyDescent="0.2">
      <c r="A15" s="212"/>
      <c r="B15" s="878" t="s">
        <v>290</v>
      </c>
      <c r="C15" s="878"/>
      <c r="D15" s="878"/>
      <c r="E15" s="878"/>
      <c r="G15" s="246"/>
      <c r="K15" s="541" t="s">
        <v>291</v>
      </c>
      <c r="L15" s="541"/>
      <c r="M15" s="541"/>
      <c r="N15" s="541"/>
      <c r="O15" s="541"/>
      <c r="P15" s="541"/>
      <c r="Q15" s="541"/>
      <c r="R15" s="541"/>
      <c r="S15" s="247" t="s">
        <v>292</v>
      </c>
      <c r="T15" s="248" t="s">
        <v>293</v>
      </c>
      <c r="AA15" s="51"/>
    </row>
    <row r="16" spans="1:27" ht="12.75" customHeight="1" x14ac:dyDescent="0.2">
      <c r="B16" s="567" t="s">
        <v>294</v>
      </c>
      <c r="K16" s="66" t="s">
        <v>24</v>
      </c>
      <c r="L16" s="876" t="s">
        <v>295</v>
      </c>
      <c r="M16" s="876"/>
      <c r="N16" s="876"/>
      <c r="O16" s="876"/>
      <c r="P16" s="876"/>
      <c r="S16" s="550">
        <f>'[1]Page 2'!$N$5</f>
        <v>2993000</v>
      </c>
      <c r="T16" s="54">
        <v>3573876</v>
      </c>
      <c r="U16" s="244" t="s">
        <v>24</v>
      </c>
    </row>
    <row r="17" spans="1:21" ht="12.75" customHeight="1" x14ac:dyDescent="0.2">
      <c r="B17" t="s">
        <v>296</v>
      </c>
      <c r="C17" s="7" t="s">
        <v>16</v>
      </c>
      <c r="D17" s="27">
        <v>0</v>
      </c>
      <c r="K17" s="66" t="s">
        <v>26</v>
      </c>
      <c r="L17" s="876" t="s">
        <v>297</v>
      </c>
      <c r="M17" s="876"/>
      <c r="N17" s="876"/>
      <c r="O17" s="176"/>
      <c r="S17" s="550">
        <f>[1]!P200GiftedEducation</f>
        <v>0</v>
      </c>
      <c r="T17" s="54">
        <v>0</v>
      </c>
      <c r="U17" s="244" t="s">
        <v>26</v>
      </c>
    </row>
    <row r="18" spans="1:21" ht="12.75" customHeight="1" x14ac:dyDescent="0.2">
      <c r="B18" s="244" t="s">
        <v>298</v>
      </c>
      <c r="C18" s="7" t="s">
        <v>16</v>
      </c>
      <c r="D18" s="28">
        <v>0</v>
      </c>
      <c r="K18" s="66" t="s">
        <v>28</v>
      </c>
      <c r="L18" t="s">
        <v>299</v>
      </c>
      <c r="S18" s="554">
        <f>[1]!P200ELLIncrementalCosts</f>
        <v>0</v>
      </c>
      <c r="T18" s="54">
        <v>0</v>
      </c>
      <c r="U18" s="244" t="s">
        <v>28</v>
      </c>
    </row>
    <row r="19" spans="1:21" ht="12.75" customHeight="1" thickBot="1" x14ac:dyDescent="0.25">
      <c r="B19" t="s">
        <v>300</v>
      </c>
      <c r="C19" s="7" t="s">
        <v>16</v>
      </c>
      <c r="D19" s="249">
        <f>SUM(D17:D18)</f>
        <v>0</v>
      </c>
      <c r="E19" s="176"/>
      <c r="K19" s="66" t="s">
        <v>31</v>
      </c>
      <c r="L19" t="s">
        <v>301</v>
      </c>
      <c r="S19" s="550">
        <f>[1]!P200ELLCompensatoryInstruction</f>
        <v>0</v>
      </c>
      <c r="T19" s="54">
        <v>0</v>
      </c>
      <c r="U19" s="244" t="s">
        <v>31</v>
      </c>
    </row>
    <row r="20" spans="1:21" ht="12.75" customHeight="1" thickTop="1" x14ac:dyDescent="0.2">
      <c r="K20" s="66" t="s">
        <v>33</v>
      </c>
      <c r="L20" t="s">
        <v>302</v>
      </c>
      <c r="S20" s="550">
        <f>[1]!P200RemedialEducation</f>
        <v>0</v>
      </c>
      <c r="T20" s="54">
        <v>0</v>
      </c>
      <c r="U20" s="244" t="s">
        <v>33</v>
      </c>
    </row>
    <row r="21" spans="1:21" x14ac:dyDescent="0.2">
      <c r="K21" s="66" t="s">
        <v>35</v>
      </c>
      <c r="L21" t="s">
        <v>303</v>
      </c>
      <c r="S21" s="550">
        <f>[1]!P200VocationalandTechnologicalEd</f>
        <v>0</v>
      </c>
      <c r="T21" s="54">
        <v>0</v>
      </c>
      <c r="U21" s="244" t="s">
        <v>35</v>
      </c>
    </row>
    <row r="22" spans="1:21" ht="12" customHeight="1" thickBot="1" x14ac:dyDescent="0.25">
      <c r="K22" s="66" t="s">
        <v>36</v>
      </c>
      <c r="L22" t="s">
        <v>304</v>
      </c>
      <c r="S22" s="219">
        <f>[1]!P200CareerEducation</f>
        <v>0</v>
      </c>
      <c r="T22" s="57">
        <v>0</v>
      </c>
      <c r="U22" s="244" t="s">
        <v>36</v>
      </c>
    </row>
    <row r="23" spans="1:21" ht="12.75" customHeight="1" thickBot="1" x14ac:dyDescent="0.25">
      <c r="K23" s="66" t="s">
        <v>38</v>
      </c>
      <c r="L23" s="877" t="s">
        <v>305</v>
      </c>
      <c r="M23" s="877"/>
      <c r="N23" s="877"/>
      <c r="O23" s="877"/>
      <c r="P23" s="877"/>
      <c r="Q23" s="8"/>
      <c r="S23" s="250">
        <f>SUM(S16:S22)</f>
        <v>2993000</v>
      </c>
      <c r="T23" s="250">
        <f>SUM(T16:T22)</f>
        <v>3573876</v>
      </c>
      <c r="U23" s="244" t="s">
        <v>38</v>
      </c>
    </row>
    <row r="24" spans="1:21" ht="12.75" customHeight="1" thickTop="1" x14ac:dyDescent="0.2">
      <c r="A24" s="7"/>
      <c r="B24" s="801"/>
      <c r="C24" s="801"/>
      <c r="D24" s="801"/>
      <c r="E24" s="801"/>
      <c r="F24" s="801"/>
      <c r="G24" s="801"/>
      <c r="H24" s="801"/>
      <c r="K24" s="66"/>
      <c r="U24" s="244"/>
    </row>
    <row r="25" spans="1:21" ht="12.75" customHeight="1" x14ac:dyDescent="0.2">
      <c r="A25" s="7"/>
      <c r="B25" s="801"/>
      <c r="C25" s="801"/>
      <c r="D25" s="801"/>
      <c r="E25" s="801"/>
      <c r="F25" s="801"/>
      <c r="G25" s="801"/>
      <c r="H25" s="801"/>
      <c r="K25" s="66" t="s">
        <v>40</v>
      </c>
      <c r="L25" s="881" t="s">
        <v>306</v>
      </c>
      <c r="M25" s="881"/>
      <c r="N25" s="881"/>
      <c r="O25" s="881"/>
      <c r="P25" s="881"/>
      <c r="Q25" s="881"/>
      <c r="R25" s="882"/>
      <c r="S25" s="879">
        <f>'[1]Page 2'!$N$14</f>
        <v>0</v>
      </c>
      <c r="T25" s="883">
        <v>0</v>
      </c>
      <c r="U25" s="244" t="s">
        <v>40</v>
      </c>
    </row>
    <row r="26" spans="1:21" ht="19.5" customHeight="1" thickBot="1" x14ac:dyDescent="0.25">
      <c r="A26" s="66"/>
      <c r="L26" s="881"/>
      <c r="M26" s="881"/>
      <c r="N26" s="881"/>
      <c r="O26" s="881"/>
      <c r="P26" s="881"/>
      <c r="Q26" s="881"/>
      <c r="R26" s="882"/>
      <c r="S26" s="880"/>
      <c r="T26" s="884"/>
    </row>
  </sheetData>
  <sheetProtection sheet="1" formatCells="0" formatColumns="0" formatRows="0"/>
  <mergeCells count="28">
    <mergeCell ref="S25:S26"/>
    <mergeCell ref="L25:R26"/>
    <mergeCell ref="T25:T26"/>
    <mergeCell ref="Q11:Q12"/>
    <mergeCell ref="R11:R12"/>
    <mergeCell ref="B24:H24"/>
    <mergeCell ref="B25:H25"/>
    <mergeCell ref="L17:N17"/>
    <mergeCell ref="L23:P23"/>
    <mergeCell ref="A14:E14"/>
    <mergeCell ref="B15:E15"/>
    <mergeCell ref="L16:P16"/>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s>
  <conditionalFormatting sqref="D17:D18">
    <cfRule type="expression" dxfId="52" priority="2" stopIfTrue="1">
      <formula>$D17=""</formula>
    </cfRule>
  </conditionalFormatting>
  <conditionalFormatting sqref="E8:Q10">
    <cfRule type="expression" dxfId="51" priority="5" stopIfTrue="1">
      <formula>E8=""</formula>
    </cfRule>
  </conditionalFormatting>
  <conditionalFormatting sqref="T16:T22 T25">
    <cfRule type="expression" dxfId="50" priority="3" stopIfTrue="1">
      <formula>$T16=""</formula>
    </cfRule>
  </conditionalFormatting>
  <hyperlinks>
    <hyperlink ref="K17:N17" location="TotalActualGiftedExpenses" display="15."/>
    <hyperlink ref="K23:P23" r:id="rId1" display="22."/>
    <hyperlink ref="A14:E15" location="TotalActualGiftedExpenses" display="B. EXPENSES FOR GIFTED PUPILS "/>
    <hyperlink ref="L16:P16" location="AllDisabilityClassifications" display="Total All Disability Classifications"/>
    <hyperlink ref="K25" r:id="rId2" display="22."/>
    <hyperlink ref="L25:R26" location="Section_C_Transportation" display="Expenses incurred for transporting students with disabilities (as defined in A.R.S. §15-761) unique to the IEP"/>
    <hyperlink ref="L15" location="SpecialEdProgramsByType" display="D. SPECIAL EDUCATION PROGRAMS BY TYPE"/>
    <hyperlink ref="S15" location="SpecialEdProgramsByType" display="Program 200 budget"/>
    <hyperlink ref="T15" location="SpecialEdProgramsByType" display="Program 200 actual"/>
    <hyperlink ref="K15:R15" location="SpecialEdProgramsByType" display="C. Special education programs by type"/>
    <hyperlink ref="F3:H3" location="TotalActualGiftedExpenses" display="Instructions"/>
  </hyperlinks>
  <pageMargins left="0.7" right="0.7" top="0.75" bottom="0.75" header="0.3" footer="0.3"/>
  <pageSetup paperSize="5" orientation="landscape" r:id="rId3"/>
  <headerFooter>
    <oddFooter>&amp;LRev. 8/25 Arizona Department of Education and Auditor General&amp;CFY 2025
No assurance provided.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42"/>
  <sheetViews>
    <sheetView showGridLines="0" topLeftCell="A19" workbookViewId="0">
      <selection activeCell="Q34" sqref="Q33:R34"/>
    </sheetView>
  </sheetViews>
  <sheetFormatPr defaultColWidth="9.33203125" defaultRowHeight="12.75" x14ac:dyDescent="0.2"/>
  <cols>
    <col min="1" max="1" width="21.33203125" customWidth="1"/>
    <col min="2" max="2" width="19.33203125" customWidth="1"/>
    <col min="3" max="3" width="13" customWidth="1"/>
    <col min="4" max="4" width="3.83203125" style="7" customWidth="1"/>
    <col min="5" max="12" width="13.83203125" customWidth="1"/>
    <col min="13" max="13" width="15.33203125" customWidth="1"/>
    <col min="14" max="14" width="13.83203125" customWidth="1"/>
    <col min="15" max="15" width="3.33203125" bestFit="1" customWidth="1"/>
    <col min="16" max="17" width="9.33203125" customWidth="1"/>
    <col min="18" max="18" width="9.33203125" hidden="1" customWidth="1"/>
    <col min="19" max="19" width="11" hidden="1" customWidth="1"/>
    <col min="20" max="25" width="9.33203125" hidden="1" customWidth="1"/>
    <col min="26" max="26" width="9.33203125" customWidth="1"/>
  </cols>
  <sheetData>
    <row r="1" spans="1:29" x14ac:dyDescent="0.2">
      <c r="A1" s="549" t="s">
        <v>0</v>
      </c>
      <c r="B1" s="806" t="str">
        <f>'Cover Page'!D1</f>
        <v>Eduprize Schools LLC</v>
      </c>
      <c r="C1" s="806"/>
      <c r="D1" s="806"/>
      <c r="G1" s="62" t="s">
        <v>1</v>
      </c>
      <c r="H1" s="806" t="str">
        <f>'Cover Page'!M1</f>
        <v>Pinal</v>
      </c>
      <c r="I1" s="806"/>
      <c r="M1" s="62" t="s">
        <v>2</v>
      </c>
      <c r="N1" s="2" t="str">
        <f>'Cover Page'!R1</f>
        <v>078687000</v>
      </c>
    </row>
    <row r="3" spans="1:29" x14ac:dyDescent="0.2">
      <c r="A3" s="798" t="s">
        <v>307</v>
      </c>
      <c r="B3" s="798"/>
      <c r="C3" s="798"/>
      <c r="D3" s="885"/>
      <c r="E3" s="570" t="s">
        <v>184</v>
      </c>
      <c r="F3" s="608" t="s">
        <v>308</v>
      </c>
      <c r="G3" s="570"/>
      <c r="H3" s="570" t="s">
        <v>309</v>
      </c>
      <c r="I3" s="570"/>
      <c r="J3" s="178"/>
      <c r="K3" s="177"/>
      <c r="L3" s="177" t="s">
        <v>310</v>
      </c>
      <c r="M3" s="570" t="s">
        <v>311</v>
      </c>
      <c r="N3" s="570" t="s">
        <v>187</v>
      </c>
    </row>
    <row r="4" spans="1:29" x14ac:dyDescent="0.2">
      <c r="B4" s="873" t="s">
        <v>724</v>
      </c>
      <c r="C4" s="873"/>
      <c r="E4" s="81" t="s">
        <v>190</v>
      </c>
      <c r="F4" s="609" t="s">
        <v>184</v>
      </c>
      <c r="G4" s="81" t="s">
        <v>21</v>
      </c>
      <c r="H4" s="81" t="s">
        <v>312</v>
      </c>
      <c r="I4" s="81" t="s">
        <v>313</v>
      </c>
      <c r="J4" s="886" t="s">
        <v>89</v>
      </c>
      <c r="K4" s="887"/>
      <c r="L4" s="251" t="s">
        <v>314</v>
      </c>
      <c r="M4" s="81" t="s">
        <v>315</v>
      </c>
      <c r="N4" s="81" t="s">
        <v>190</v>
      </c>
      <c r="AA4" s="548"/>
      <c r="AB4" s="51"/>
      <c r="AC4" s="51"/>
    </row>
    <row r="5" spans="1:29" x14ac:dyDescent="0.2">
      <c r="A5" s="549" t="s">
        <v>316</v>
      </c>
      <c r="E5" s="86" t="s">
        <v>99</v>
      </c>
      <c r="F5" s="610" t="s">
        <v>483</v>
      </c>
      <c r="G5" s="86" t="s">
        <v>99</v>
      </c>
      <c r="H5" s="86" t="s">
        <v>99</v>
      </c>
      <c r="I5" s="86" t="s">
        <v>99</v>
      </c>
      <c r="J5" s="581" t="s">
        <v>98</v>
      </c>
      <c r="K5" s="581" t="s">
        <v>23</v>
      </c>
      <c r="L5" s="86" t="s">
        <v>317</v>
      </c>
      <c r="M5" s="86" t="s">
        <v>99</v>
      </c>
      <c r="N5" s="86" t="s">
        <v>99</v>
      </c>
      <c r="T5" s="548"/>
      <c r="AB5" s="51"/>
      <c r="AC5" s="51"/>
    </row>
    <row r="6" spans="1:29" x14ac:dyDescent="0.2">
      <c r="A6" t="s">
        <v>318</v>
      </c>
      <c r="D6" s="7" t="s">
        <v>24</v>
      </c>
      <c r="E6" s="550">
        <f>[2]!FP11001130EndBal</f>
        <v>0</v>
      </c>
      <c r="F6" s="54">
        <v>0</v>
      </c>
      <c r="G6" s="550">
        <f>-(SUMIFS('Accounting data'!$G$2:$G$37002,'Accounting data'!$H$2:$H$37002,"1100*",'Accounting data'!$K$2:$K$37002,"1*")+SUMIFS('Accounting data'!$G$2:$G$37002,'Accounting data'!$H$2:$H$37002,"1100*",'Accounting data'!$K$2:$K$37002,"2*")+SUMIFS('Accounting data'!$G$2:$G$37002,'Accounting data'!$H$2:$H$37002,"1100*",'Accounting data'!$K$2:$K$37002,"3*")+SUMIFS('Accounting data'!$G$2:$G$37002,'Accounting data'!$H$2:$H$37002,"1100*",'Accounting data'!$K$2:$K$37002,"4*")+SUMIFS('Accounting data'!$G$2:$G$37002,'Accounting data'!$H$2:$H$37002,"1100*",'Accounting data'!$K$2:$K$37002,"Other*"))</f>
        <v>0</v>
      </c>
      <c r="H6" s="552">
        <f>SUMIFS('Accounting data'!$G$2:$G$37002,'Accounting data'!$H$2:$H$37002,"1100*",'Accounting data'!$K$2:$K$37002,"69*")</f>
        <v>0</v>
      </c>
      <c r="I6" s="52">
        <v>0</v>
      </c>
      <c r="J6" s="550">
        <f>[1]!FP11001130TitleI</f>
        <v>0</v>
      </c>
      <c r="K6" s="552">
        <f>SUMIFS('Accounting data'!$G$2:$G$37002,'Accounting data'!$H$2:$H$37002,"1100*",'Accounting data'!$K$2:$K$37002,"6*")-SUMIFS('Accounting data'!$G$2:$G$37002,'Accounting data'!$H$2:$H$37002,"1100*",'Accounting data'!$K$2:$K$37002,"69*")-SUMIFS('Accounting data'!$G$2:$G$37002,'Accounting data'!$H$2:$H$37002,"1100*",'Accounting data'!$K$2:$K$37002,"67*")</f>
        <v>0</v>
      </c>
      <c r="L6" s="252"/>
      <c r="M6" s="52">
        <v>0</v>
      </c>
      <c r="N6" s="552">
        <f>SUM(IF(F6="",E6,F6)+G6-H6-I6-K6-M6)</f>
        <v>0</v>
      </c>
      <c r="O6" s="218" t="s">
        <v>24</v>
      </c>
      <c r="P6" s="29"/>
      <c r="AB6" s="51"/>
      <c r="AC6" s="51" t="str">
        <f>IF(OR(I6="",I7="",I8="",I9="",I10="",I11="",I12="",I13="",I14="",I15="",I16="",I17="",I18="",I19="",I20="",I21="",I22=""),"yes","")</f>
        <v/>
      </c>
    </row>
    <row r="7" spans="1:29" x14ac:dyDescent="0.2">
      <c r="A7" t="s">
        <v>319</v>
      </c>
      <c r="D7" s="7" t="s">
        <v>26</v>
      </c>
      <c r="E7" s="550">
        <f>[2]!FP11401150EndBal</f>
        <v>0</v>
      </c>
      <c r="F7" s="54">
        <v>0</v>
      </c>
      <c r="G7" s="550">
        <f>-(SUMIFS('Accounting data'!$G$2:$G$37002,'Accounting data'!$H$2:$H$37002,"1140*",'Accounting data'!$K$2:$K$37002,"1*")+SUMIFS('Accounting data'!$G$2:$G$37002,'Accounting data'!$H$2:$H$37002,"1140*",'Accounting data'!$K$2:$K$37002,"2*")+SUMIFS('Accounting data'!$G$2:$G$37002,'Accounting data'!$H$2:$H$37002,"1140*",'Accounting data'!$K$2:$K$37002,"3*")+SUMIFS('Accounting data'!$G$2:$G$37002,'Accounting data'!$H$2:$H$37002,"1140*",'Accounting data'!$K$2:$K$37002,"4*")+SUMIFS('Accounting data'!$G$2:$G$37002,'Accounting data'!$H$2:$H$37002,"1140*",'Accounting data'!$K$2:$K$37002,"Other*"))</f>
        <v>0</v>
      </c>
      <c r="H7" s="552">
        <f>SUMIFS('Accounting data'!$G$2:$G$37002,'Accounting data'!$H$2:$H$37002,"1140*",'Accounting data'!$K$2:$K$37002,"69*")</f>
        <v>0</v>
      </c>
      <c r="I7" s="52">
        <v>0</v>
      </c>
      <c r="J7" s="550">
        <f>[1]!FP11401150TitleII</f>
        <v>0</v>
      </c>
      <c r="K7" s="552">
        <f>SUMIFS('Accounting data'!$G$2:$G$37002,'Accounting data'!$H$2:$H$37002,"1140*",'Accounting data'!$K$2:$K$37002,"6*")-SUMIFS('Accounting data'!$G$2:$G$37002,'Accounting data'!$H$2:$H$37002,"1140*",'Accounting data'!$K$2:$K$37002,"69*")-SUMIFS('Accounting data'!$G$2:$G$37002,'Accounting data'!$H$2:$H$37002,"1140*",'Accounting data'!$K$2:$K$37002,"67*")</f>
        <v>0</v>
      </c>
      <c r="L7" s="252"/>
      <c r="M7" s="52">
        <v>0</v>
      </c>
      <c r="N7" s="552">
        <f>SUM(IF(F7="",E7,F7)+G7-H7-I7-K7-M7)</f>
        <v>0</v>
      </c>
      <c r="O7" t="s">
        <v>26</v>
      </c>
      <c r="AB7" s="51"/>
      <c r="AC7" s="51" t="str">
        <f>IF(OR(M6="",M7="",M8="",M9="",M10="",M11="",M12="",M13="",M14="",M15="",M16="",M17="",M18="",M19="",M20="",M21="",M22=""),"yes","")</f>
        <v/>
      </c>
    </row>
    <row r="8" spans="1:29" x14ac:dyDescent="0.2">
      <c r="A8" t="s">
        <v>320</v>
      </c>
      <c r="D8" s="7" t="s">
        <v>28</v>
      </c>
      <c r="E8" s="550">
        <f>[2]!FP1160EndBal</f>
        <v>0</v>
      </c>
      <c r="F8" s="54">
        <v>0</v>
      </c>
      <c r="G8" s="550">
        <f>-(SUMIFS('Accounting data'!$G$2:$G$37002,'Accounting data'!$H$2:$H$37002,"1160*",'Accounting data'!$K$2:$K$37002,"1*")+SUMIFS('Accounting data'!$G$2:$G$37002,'Accounting data'!$H$2:$H$37002,"1160*",'Accounting data'!$K$2:$K$37002,"2*")+SUMIFS('Accounting data'!$G$2:$G$37002,'Accounting data'!$H$2:$H$37002,"1160*",'Accounting data'!$K$2:$K$37002,"3*")+SUMIFS('Accounting data'!$G$2:$G$37002,'Accounting data'!$H$2:$H$37002,"1160*",'Accounting data'!$K$2:$K$37002,"4*")+SUMIFS('Accounting data'!$G$2:$G$37002,'Accounting data'!$H$2:$H$37002,"1160*",'Accounting data'!$K$2:$K$37002,"Other*"))</f>
        <v>0</v>
      </c>
      <c r="H8" s="552">
        <f>SUMIFS('Accounting data'!$G$2:$G$37002,'Accounting data'!$H$2:$H$37002,"1160*",'Accounting data'!$K$2:$K$37002,"69*")</f>
        <v>0</v>
      </c>
      <c r="I8" s="52">
        <v>0</v>
      </c>
      <c r="J8" s="550">
        <f>[1]!FP1160TitleIV</f>
        <v>0</v>
      </c>
      <c r="K8" s="552">
        <f>SUMIFS('Accounting data'!$G$2:$G$37002,'Accounting data'!$H$2:$H$37002,"1160*",'Accounting data'!$K$2:$K$37002,"6*")-SUMIFS('Accounting data'!$G$2:$G$37002,'Accounting data'!$H$2:$H$37002,"1160*",'Accounting data'!$K$2:$K$37002,"69*")-SUMIFS('Accounting data'!$G$2:$G$37002,'Accounting data'!$H$2:$H$37002,"1160*",'Accounting data'!$K$2:$K$37002,"67*")</f>
        <v>0</v>
      </c>
      <c r="L8" s="252"/>
      <c r="M8" s="52">
        <v>0</v>
      </c>
      <c r="N8" s="552">
        <f t="shared" ref="N8:N21" si="0">SUM(IF(F8="",E8,F8)+G8-H8-I8-K8-M8)</f>
        <v>0</v>
      </c>
      <c r="O8" t="s">
        <v>28</v>
      </c>
      <c r="AB8" s="51"/>
      <c r="AC8" s="51" t="str">
        <f>IF(OR(I25="",J25="",M25=""),"yes","")</f>
        <v>yes</v>
      </c>
    </row>
    <row r="9" spans="1:29" x14ac:dyDescent="0.2">
      <c r="A9" t="s">
        <v>321</v>
      </c>
      <c r="D9" s="7" t="s">
        <v>31</v>
      </c>
      <c r="E9" s="550">
        <f>[2]!FP11701180EndBal</f>
        <v>0</v>
      </c>
      <c r="F9" s="54">
        <v>0</v>
      </c>
      <c r="G9" s="550">
        <f>-(SUMIFS('Accounting data'!$G$2:$G$37002,'Accounting data'!$H$2:$H$37002,"1170*",'Accounting data'!$K$2:$K$37002,"1*")+SUMIFS('Accounting data'!$G$2:$G$37002,'Accounting data'!$H$2:$H$37002,"1170*",'Accounting data'!$K$2:$K$37002,"2*")+SUMIFS('Accounting data'!$G$2:$G$37002,'Accounting data'!$H$2:$H$37002,"1170*",'Accounting data'!$K$2:$K$37002,"3*")+SUMIFS('Accounting data'!$G$2:$G$37002,'Accounting data'!$H$2:$H$37002,"1170*",'Accounting data'!$K$2:$K$37002,"4*")+SUMIFS('Accounting data'!$G$2:$G$37002,'Accounting data'!$H$2:$H$37002,"1170*",'Accounting data'!$K$2:$K$37002,"Other*"))</f>
        <v>0</v>
      </c>
      <c r="H9" s="552">
        <f>SUMIFS('Accounting data'!$G$2:$G$37002,'Accounting data'!$H$2:$H$37002,"1170*",'Accounting data'!$K$2:$K$37002,"69*")</f>
        <v>0</v>
      </c>
      <c r="I9" s="52">
        <v>0</v>
      </c>
      <c r="J9" s="550">
        <f>[1]!FP11701180TitleV</f>
        <v>0</v>
      </c>
      <c r="K9" s="552">
        <f>SUMIFS('Accounting data'!$G$2:$G$37002,'Accounting data'!$H$2:$H$37002,"1170*",'Accounting data'!$K$2:$K$37002,"6*")-SUMIFS('Accounting data'!$G$2:$G$37002,'Accounting data'!$H$2:$H$37002,"1170*",'Accounting data'!$K$2:$K$37002,"69*")-SUMIFS('Accounting data'!$G$2:$G$37002,'Accounting data'!$H$2:$H$37002,"1170*",'Accounting data'!$K$2:$K$37002,"67*")</f>
        <v>0</v>
      </c>
      <c r="L9" s="252"/>
      <c r="M9" s="52">
        <v>0</v>
      </c>
      <c r="N9" s="552">
        <f t="shared" si="0"/>
        <v>0</v>
      </c>
      <c r="O9" t="s">
        <v>31</v>
      </c>
      <c r="AB9" s="51"/>
      <c r="AC9" s="51" t="str">
        <f>IF(OR(I28="",I29="",I30="",I31="",I32="",I33="",I34="",I35="",I36="",I37="",I38="",I39=""),"yes","")</f>
        <v/>
      </c>
    </row>
    <row r="10" spans="1:29" x14ac:dyDescent="0.2">
      <c r="A10" t="s">
        <v>322</v>
      </c>
      <c r="D10" s="7" t="s">
        <v>33</v>
      </c>
      <c r="E10" s="550">
        <f>[2]!FP1190EndBal</f>
        <v>0</v>
      </c>
      <c r="F10" s="54">
        <v>0</v>
      </c>
      <c r="G10" s="550">
        <f>-(SUMIFS('Accounting data'!$G$2:$G$37002,'Accounting data'!$H$2:$H$37002,"1190*",'Accounting data'!$K$2:$K$37002,"1*")+SUMIFS('Accounting data'!$G$2:$G$37002,'Accounting data'!$H$2:$H$37002,"1190*",'Accounting data'!$K$2:$K$37002,"2*")+SUMIFS('Accounting data'!$G$2:$G$37002,'Accounting data'!$H$2:$H$37002,"1190*",'Accounting data'!$K$2:$K$37002,"3*")+SUMIFS('Accounting data'!$G$2:$G$37002,'Accounting data'!$H$2:$H$37002,"1190*",'Accounting data'!$K$2:$K$37002,"4*")+SUMIFS('Accounting data'!$G$2:$G$37002,'Accounting data'!$H$2:$H$37002,"1190*",'Accounting data'!$K$2:$K$37002,"Other*"))</f>
        <v>0</v>
      </c>
      <c r="H10" s="552">
        <f>SUMIFS('Accounting data'!$G$2:$G$37002,'Accounting data'!$H$2:$H$37002,"1190*",'Accounting data'!$K$2:$K$37002,"69*")</f>
        <v>0</v>
      </c>
      <c r="I10" s="52">
        <v>0</v>
      </c>
      <c r="J10" s="550">
        <f>[1]!FP1190TitleIII</f>
        <v>0</v>
      </c>
      <c r="K10" s="552">
        <f>SUMIFS('Accounting data'!$G$2:$G$37002,'Accounting data'!$H$2:$H$37002,"1190*",'Accounting data'!$K$2:$K$37002,"6*")-SUMIFS('Accounting data'!$G$2:$G$37002,'Accounting data'!$H$2:$H$37002,"1190*",'Accounting data'!$K$2:$K$37002,"69*")-SUMIFS('Accounting data'!$G$2:$G$37002,'Accounting data'!$H$2:$H$37002,"1190*",'Accounting data'!$K$2:$K$37002,"67*")</f>
        <v>0</v>
      </c>
      <c r="L10" s="252"/>
      <c r="M10" s="52">
        <v>0</v>
      </c>
      <c r="N10" s="552">
        <f t="shared" si="0"/>
        <v>0</v>
      </c>
      <c r="O10" t="s">
        <v>33</v>
      </c>
      <c r="AB10" s="51"/>
      <c r="AC10" s="51" t="str">
        <f>IF(OR(M28="",M29="",M30="",M31="",M32="",M33="",M34="",M35="",M36="",M37="",M38="",M39=""),"yes","")</f>
        <v/>
      </c>
    </row>
    <row r="11" spans="1:29" x14ac:dyDescent="0.2">
      <c r="A11" t="s">
        <v>323</v>
      </c>
      <c r="D11" s="7" t="s">
        <v>35</v>
      </c>
      <c r="E11" s="550">
        <f>[2]!FP1200EndBal</f>
        <v>0</v>
      </c>
      <c r="F11" s="54">
        <v>0</v>
      </c>
      <c r="G11" s="550">
        <f>-(SUMIFS('Accounting data'!$G$2:$G$37002,'Accounting data'!$H$2:$H$37002,"1200*",'Accounting data'!$K$2:$K$37002,"1*")+SUMIFS('Accounting data'!$G$2:$G$37002,'Accounting data'!$H$2:$H$37002,"1200*",'Accounting data'!$K$2:$K$37002,"2*")+SUMIFS('Accounting data'!$G$2:$G$37002,'Accounting data'!$H$2:$H$37002,"1200*",'Accounting data'!$K$2:$K$37002,"3*")+SUMIFS('Accounting data'!$G$2:$G$37002,'Accounting data'!$H$2:$H$37002,"1200*",'Accounting data'!$K$2:$K$37002,"4*")+SUMIFS('Accounting data'!$G$2:$G$37002,'Accounting data'!$H$2:$H$37002,"1200*",'Accounting data'!$K$2:$K$37002,"Other*"))</f>
        <v>0</v>
      </c>
      <c r="H11" s="552">
        <f>SUMIFS('Accounting data'!$G$2:$G$37002,'Accounting data'!$H$2:$H$37002,"1200*",'Accounting data'!$K$2:$K$37002,"69*")</f>
        <v>0</v>
      </c>
      <c r="I11" s="52">
        <v>0</v>
      </c>
      <c r="J11" s="550">
        <f>[1]!FP1200TitleVII</f>
        <v>0</v>
      </c>
      <c r="K11" s="552">
        <f>SUMIFS('Accounting data'!$G$2:$G$37002,'Accounting data'!$H$2:$H$37002,"1200*",'Accounting data'!$K$2:$K$37002,"6*")-SUMIFS('Accounting data'!$G$2:$G$37002,'Accounting data'!$H$2:$H$37002,"1200*",'Accounting data'!$K$2:$K$37002,"69*")-SUMIFS('Accounting data'!$G$2:$G$37002,'Accounting data'!$H$2:$H$37002,"1200*",'Accounting data'!$K$2:$K$37002,"67*")</f>
        <v>0</v>
      </c>
      <c r="L11" s="252"/>
      <c r="M11" s="52">
        <v>0</v>
      </c>
      <c r="N11" s="552">
        <f t="shared" si="0"/>
        <v>0</v>
      </c>
      <c r="O11" t="s">
        <v>35</v>
      </c>
      <c r="AB11" s="51"/>
      <c r="AC11" s="51" t="str">
        <f>IF(AND(AC6="",AC8="",AC9="",AC7="",AC10=""),"","yes")</f>
        <v>yes</v>
      </c>
    </row>
    <row r="12" spans="1:29" x14ac:dyDescent="0.2">
      <c r="A12" t="s">
        <v>324</v>
      </c>
      <c r="D12" s="7" t="s">
        <v>36</v>
      </c>
      <c r="E12" s="550">
        <f>[2]!FP1210EndBal</f>
        <v>0</v>
      </c>
      <c r="F12" s="54">
        <v>0</v>
      </c>
      <c r="G12" s="550">
        <f>-(SUMIFS('Accounting data'!$G$2:$G$37002,'Accounting data'!$H$2:$H$37002,"1210*",'Accounting data'!$K$2:$K$37002,"1*")+SUMIFS('Accounting data'!$G$2:$G$37002,'Accounting data'!$H$2:$H$37002,"1210*",'Accounting data'!$K$2:$K$37002,"2*")+SUMIFS('Accounting data'!$G$2:$G$37002,'Accounting data'!$H$2:$H$37002,"1210*",'Accounting data'!$K$2:$K$37002,"3*")+SUMIFS('Accounting data'!$G$2:$G$37002,'Accounting data'!$H$2:$H$37002,"1210*",'Accounting data'!$K$2:$K$37002,"4*")+SUMIFS('Accounting data'!$G$2:$G$37002,'Accounting data'!$H$2:$H$37002,"1210*",'Accounting data'!$K$2:$K$37002,"Other*"))</f>
        <v>0</v>
      </c>
      <c r="H12" s="552">
        <f>SUMIFS('Accounting data'!$G$2:$G$37002,'Accounting data'!$H$2:$H$37002,"1210*",'Accounting data'!$K$2:$K$37002,"69*")</f>
        <v>0</v>
      </c>
      <c r="I12" s="52">
        <v>0</v>
      </c>
      <c r="J12" s="550">
        <f>[1]!FP1210TitleVI</f>
        <v>0</v>
      </c>
      <c r="K12" s="552">
        <f>SUMIFS('Accounting data'!$G$2:$G$37002,'Accounting data'!$H$2:$H$37002,"1210*",'Accounting data'!$K$2:$K$37002,"6*")-SUMIFS('Accounting data'!$G$2:$G$37002,'Accounting data'!$H$2:$H$37002,"1210*",'Accounting data'!$K$2:$K$37002,"69*")-SUMIFS('Accounting data'!$G$2:$G$37002,'Accounting data'!$H$2:$H$37002,"1210*",'Accounting data'!$K$2:$K$37002,"67*")</f>
        <v>0</v>
      </c>
      <c r="L12" s="252"/>
      <c r="M12" s="52">
        <v>0</v>
      </c>
      <c r="N12" s="552">
        <f t="shared" si="0"/>
        <v>0</v>
      </c>
      <c r="O12" t="s">
        <v>36</v>
      </c>
      <c r="AB12" s="51"/>
      <c r="AC12" s="51"/>
    </row>
    <row r="13" spans="1:29" x14ac:dyDescent="0.2">
      <c r="A13" t="s">
        <v>325</v>
      </c>
      <c r="D13" s="7" t="s">
        <v>38</v>
      </c>
      <c r="E13" s="550">
        <f>[2]!FP1220EndBal</f>
        <v>0</v>
      </c>
      <c r="F13" s="54">
        <v>0</v>
      </c>
      <c r="G13" s="550">
        <f>-(SUMIFS('Accounting data'!$G$2:$G$37002,'Accounting data'!$H$2:$H$37002,"122*",'Accounting data'!$K$2:$K$37002,"1*")+SUMIFS('Accounting data'!$G$2:$G$37002,'Accounting data'!$H$2:$H$37002,"122*",'Accounting data'!$K$2:$K$37002,"2*")+SUMIFS('Accounting data'!$G$2:$G$37002,'Accounting data'!$H$2:$H$37002,"122*",'Accounting data'!$K$2:$K$37002,"3*")+SUMIFS('Accounting data'!$G$2:$G$37002,'Accounting data'!$H$2:$H$37002,"122*",'Accounting data'!$K$2:$K$37002,"4*")+SUMIFS('Accounting data'!$G$2:$G$37002,'Accounting data'!$H$2:$H$37002,"122*",'Accounting data'!$K$2:$K$37002,"Other*"))</f>
        <v>0</v>
      </c>
      <c r="H13" s="550">
        <f>SUMIFS('Accounting data'!$G$2:$G$37002,'Accounting data'!$H$2:$H$37002,"122*",'Accounting data'!$K$2:$K$37002,"69*")</f>
        <v>0</v>
      </c>
      <c r="I13" s="52">
        <v>0</v>
      </c>
      <c r="J13" s="550">
        <f>[1]!FP1220IDEA</f>
        <v>0</v>
      </c>
      <c r="K13" s="552">
        <f>SUMIFS('Accounting data'!$G$2:$G$37002,'Accounting data'!$H$2:$H$37002,"122*",'Accounting data'!$K$2:$K$37002,"6*")-SUMIFS('Accounting data'!$G$2:$G$37002,'Accounting data'!$H$2:$H$37002,"122*",'Accounting data'!$K$2:$K$37002,"69*")-SUMIFS('Accounting data'!$G$2:$G$37002,'Accounting data'!$H$2:$H$37002,"122*",'Accounting data'!$K$2:$K$37002,"67*")</f>
        <v>0</v>
      </c>
      <c r="L13" s="252"/>
      <c r="M13" s="52">
        <v>0</v>
      </c>
      <c r="N13" s="552">
        <f t="shared" si="0"/>
        <v>0</v>
      </c>
      <c r="O13" t="s">
        <v>38</v>
      </c>
      <c r="AB13" s="51"/>
      <c r="AC13" s="51"/>
    </row>
    <row r="14" spans="1:29" x14ac:dyDescent="0.2">
      <c r="A14" t="s">
        <v>326</v>
      </c>
      <c r="D14" s="7" t="s">
        <v>40</v>
      </c>
      <c r="E14" s="550">
        <f>[2]!FP1230EndBal</f>
        <v>0</v>
      </c>
      <c r="F14" s="54">
        <v>0</v>
      </c>
      <c r="G14" s="550">
        <f>-(SUMIFS('Accounting data'!$G$2:$G$37002,'Accounting data'!$H$2:$H$37002,"1230*",'Accounting data'!$K$2:$K$37002,"1*")+SUMIFS('Accounting data'!$G$2:$G$37002,'Accounting data'!$H$2:$H$37002,"1230*",'Accounting data'!$K$2:$K$37002,"2*")+SUMIFS('Accounting data'!$G$2:$G$37002,'Accounting data'!$H$2:$H$37002,"1230*",'Accounting data'!$K$2:$K$37002,"3*")+SUMIFS('Accounting data'!$G$2:$G$37002,'Accounting data'!$H$2:$H$37002,"1230*",'Accounting data'!$K$2:$K$37002,"4*")+SUMIFS('Accounting data'!$G$2:$G$37002,'Accounting data'!$H$2:$H$37002,"1230*",'Accounting data'!$K$2:$K$37002,"Other*"))</f>
        <v>0</v>
      </c>
      <c r="H14" s="552">
        <f>SUMIFS('Accounting data'!$G$2:$G$37002,'Accounting data'!$H$2:$H$37002,"1230*",'Accounting data'!$K$2:$K$37002,"69*")</f>
        <v>0</v>
      </c>
      <c r="I14" s="52">
        <v>0</v>
      </c>
      <c r="J14" s="550">
        <f>[1]!FP1230Johnson</f>
        <v>0</v>
      </c>
      <c r="K14" s="552">
        <f>SUMIFS('Accounting data'!$G$2:$G$37002,'Accounting data'!$H$2:$H$37002,"1230*",'Accounting data'!$K$2:$K$37002,"6*")-SUMIFS('Accounting data'!$G$2:$G$37002,'Accounting data'!$H$2:$H$37002,"1230*",'Accounting data'!$K$2:$K$37002,"69*")-SUMIFS('Accounting data'!$G$2:$G$37002,'Accounting data'!$H$2:$H$37002,"1230*",'Accounting data'!$K$2:$K$37002,"67*")</f>
        <v>0</v>
      </c>
      <c r="L14" s="252"/>
      <c r="M14" s="52">
        <v>0</v>
      </c>
      <c r="N14" s="552">
        <f t="shared" si="0"/>
        <v>0</v>
      </c>
      <c r="O14" t="s">
        <v>40</v>
      </c>
      <c r="AB14" s="51"/>
      <c r="AC14" s="51"/>
    </row>
    <row r="15" spans="1:29" x14ac:dyDescent="0.2">
      <c r="A15" t="s">
        <v>327</v>
      </c>
      <c r="D15" s="7" t="s">
        <v>42</v>
      </c>
      <c r="E15" s="550">
        <f>[2]!FP1240EndBal</f>
        <v>0</v>
      </c>
      <c r="F15" s="54">
        <v>0</v>
      </c>
      <c r="G15" s="550">
        <f>-(SUMIFS('Accounting data'!$G$2:$G$37002,'Accounting data'!$H$2:$H$37002,"1240*",'Accounting data'!$K$2:$K$37002,"1*")+SUMIFS('Accounting data'!$G$2:$G$37002,'Accounting data'!$H$2:$H$37002,"1240*",'Accounting data'!$K$2:$K$37002,"2*")+SUMIFS('Accounting data'!$G$2:$G$37002,'Accounting data'!$H$2:$H$37002,"1240*",'Accounting data'!$K$2:$K$37002,"3*")+SUMIFS('Accounting data'!$G$2:$G$37002,'Accounting data'!$H$2:$H$37002,"1240*",'Accounting data'!$K$2:$K$37002,"4*")+SUMIFS('Accounting data'!$G$2:$G$37002,'Accounting data'!$H$2:$H$37002,"1240*",'Accounting data'!$K$2:$K$37002,"Other*"))</f>
        <v>0</v>
      </c>
      <c r="H15" s="552">
        <f>SUMIFS('Accounting data'!$G$2:$G$37002,'Accounting data'!$H$2:$H$37002,"1240*",'Accounting data'!$K$2:$K$37002,"69*")</f>
        <v>0</v>
      </c>
      <c r="I15" s="52">
        <v>0</v>
      </c>
      <c r="J15" s="550">
        <f>[1]!FP1240WIA</f>
        <v>0</v>
      </c>
      <c r="K15" s="552">
        <f>SUMIFS('Accounting data'!$G$2:$G$37002,'Accounting data'!$H$2:$H$37002,"1240*",'Accounting data'!$K$2:$K$37002,"6*")-SUMIFS('Accounting data'!$G$2:$G$37002,'Accounting data'!$H$2:$H$37002,"1240*",'Accounting data'!$K$2:$K$37002,"69*")-SUMIFS('Accounting data'!$G$2:$G$37002,'Accounting data'!$H$2:$H$37002,"1240*",'Accounting data'!$K$2:$K$37002,"67*")</f>
        <v>0</v>
      </c>
      <c r="L15" s="252"/>
      <c r="M15" s="52">
        <v>0</v>
      </c>
      <c r="N15" s="552">
        <f t="shared" si="0"/>
        <v>0</v>
      </c>
      <c r="O15" t="s">
        <v>42</v>
      </c>
      <c r="AB15" s="51"/>
      <c r="AC15" s="51"/>
    </row>
    <row r="16" spans="1:29" x14ac:dyDescent="0.2">
      <c r="A16" t="s">
        <v>328</v>
      </c>
      <c r="D16" s="7" t="s">
        <v>44</v>
      </c>
      <c r="E16" s="550">
        <f>[2]!FP1250EndBal</f>
        <v>0</v>
      </c>
      <c r="F16" s="54">
        <v>0</v>
      </c>
      <c r="G16" s="550">
        <f>-(SUMIFS('Accounting data'!$G$2:$G$37002,'Accounting data'!$H$2:$H$37002,"1250*",'Accounting data'!$K$2:$K$37002,"1*")+SUMIFS('Accounting data'!$G$2:$G$37002,'Accounting data'!$H$2:$H$37002,"1250*",'Accounting data'!$K$2:$K$37002,"2*")+SUMIFS('Accounting data'!$G$2:$G$37002,'Accounting data'!$H$2:$H$37002,"1250*",'Accounting data'!$K$2:$K$37002,"3*")+SUMIFS('Accounting data'!$G$2:$G$37002,'Accounting data'!$H$2:$H$37002,"1250*",'Accounting data'!$K$2:$K$37002,"4*")+SUMIFS('Accounting data'!$G$2:$G$37002,'Accounting data'!$H$2:$H$37002,"1250*",'Accounting data'!$K$2:$K$37002,"Other*"))</f>
        <v>0</v>
      </c>
      <c r="H16" s="552">
        <f>SUMIFS('Accounting data'!$G$2:$G$37002,'Accounting data'!$H$2:$H$37002,"1250*",'Accounting data'!$K$2:$K$37002,"69*")</f>
        <v>0</v>
      </c>
      <c r="I16" s="52">
        <v>0</v>
      </c>
      <c r="J16" s="550">
        <f>[1]!FP1250AEA</f>
        <v>0</v>
      </c>
      <c r="K16" s="552">
        <f>SUMIFS('Accounting data'!$G$2:$G$37002,'Accounting data'!$H$2:$H$37002,"1250*",'Accounting data'!$K$2:$K$37002,"6*")-SUMIFS('Accounting data'!$G$2:$G$37002,'Accounting data'!$H$2:$H$37002,"1250*",'Accounting data'!$K$2:$K$37002,"69*")-SUMIFS('Accounting data'!$G$2:$G$37002,'Accounting data'!$H$2:$H$37002,"1250*",'Accounting data'!$K$2:$K$37002,"67*")</f>
        <v>0</v>
      </c>
      <c r="L16" s="252"/>
      <c r="M16" s="52">
        <v>0</v>
      </c>
      <c r="N16" s="552">
        <f t="shared" si="0"/>
        <v>0</v>
      </c>
      <c r="O16" t="s">
        <v>44</v>
      </c>
      <c r="AB16" s="51"/>
      <c r="AC16" s="51"/>
    </row>
    <row r="17" spans="1:26" x14ac:dyDescent="0.2">
      <c r="A17" t="s">
        <v>329</v>
      </c>
      <c r="D17" s="7" t="s">
        <v>45</v>
      </c>
      <c r="E17" s="550">
        <f>[2]!FP1260EndBal</f>
        <v>0</v>
      </c>
      <c r="F17" s="54">
        <v>0</v>
      </c>
      <c r="G17" s="550">
        <f>-(SUMIFS('Accounting data'!$G$2:$G$37002,'Accounting data'!$H$2:$H$37002,"1260*",'Accounting data'!$K$2:$K$37002,"1*")+SUMIFS('Accounting data'!$G$2:$G$37002,'Accounting data'!$H$2:$H$37002,"1260*",'Accounting data'!$K$2:$K$37002,"2*")+SUMIFS('Accounting data'!$G$2:$G$37002,'Accounting data'!$H$2:$H$37002,"1260*",'Accounting data'!$K$2:$K$37002,"3*")+SUMIFS('Accounting data'!$G$2:$G$37002,'Accounting data'!$H$2:$H$37002,"1260*",'Accounting data'!$K$2:$K$37002,"4*")+SUMIFS('Accounting data'!$G$2:$G$37002,'Accounting data'!$H$2:$H$37002,"1260*",'Accounting data'!$K$2:$K$37002,"Other*"))</f>
        <v>0</v>
      </c>
      <c r="H17" s="552">
        <f>SUMIFS('Accounting data'!$G$2:$G$37002,'Accounting data'!$H$2:$H$37002,"1260*",'Accounting data'!$K$2:$K$37002,"69*")</f>
        <v>0</v>
      </c>
      <c r="I17" s="52">
        <v>0</v>
      </c>
      <c r="J17" s="550">
        <f>[1]!FP12601270VocEd</f>
        <v>0</v>
      </c>
      <c r="K17" s="552">
        <f>SUMIFS('Accounting data'!$G$2:$G$37002,'Accounting data'!$H$2:$H$37002,"1260*",'Accounting data'!$K$2:$K$37002,"6*")-SUMIFS('Accounting data'!$G$2:$G$37002,'Accounting data'!$H$2:$H$37002,"1260*",'Accounting data'!$K$2:$K$37002,"69*")-SUMIFS('Accounting data'!$G$2:$G$37002,'Accounting data'!$H$2:$H$37002,"1260*",'Accounting data'!$K$2:$K$37002,"67*")</f>
        <v>0</v>
      </c>
      <c r="L17" s="252"/>
      <c r="M17" s="52">
        <v>0</v>
      </c>
      <c r="N17" s="552">
        <f t="shared" si="0"/>
        <v>0</v>
      </c>
      <c r="O17" t="s">
        <v>45</v>
      </c>
    </row>
    <row r="18" spans="1:26" x14ac:dyDescent="0.2">
      <c r="A18" t="s">
        <v>330</v>
      </c>
      <c r="D18" s="7" t="s">
        <v>47</v>
      </c>
      <c r="E18" s="550">
        <f>[2]!FP1280EndBal</f>
        <v>0</v>
      </c>
      <c r="F18" s="54">
        <v>0</v>
      </c>
      <c r="G18" s="550">
        <f>-(SUMIFS('Accounting data'!$G$2:$G$37002,'Accounting data'!$H$2:$H$37002,"1280*",'Accounting data'!$K$2:$K$37002,"1*")+SUMIFS('Accounting data'!$G$2:$G$37002,'Accounting data'!$H$2:$H$37002,"1280*",'Accounting data'!$K$2:$K$37002,"2*")+SUMIFS('Accounting data'!$G$2:$G$37002,'Accounting data'!$H$2:$H$37002,"1280*",'Accounting data'!$K$2:$K$37002,"3*")+SUMIFS('Accounting data'!$G$2:$G$37002,'Accounting data'!$H$2:$H$37002,"1280*",'Accounting data'!$K$2:$K$37002,"4*")+SUMIFS('Accounting data'!$G$2:$G$37002,'Accounting data'!$H$2:$H$37002,"1280*",'Accounting data'!$K$2:$K$37002,"Other*"))</f>
        <v>0</v>
      </c>
      <c r="H18" s="552">
        <f>SUMIFS('Accounting data'!$G$2:$G$37002,'Accounting data'!$H$2:$H$37002,"1280*",'Accounting data'!$K$2:$K$37002,"69*")</f>
        <v>0</v>
      </c>
      <c r="I18" s="52">
        <v>0</v>
      </c>
      <c r="J18" s="550">
        <f>[1]!FP1280TitleX</f>
        <v>0</v>
      </c>
      <c r="K18" s="552">
        <f>SUMIFS('Accounting data'!$G$2:$G$37002,'Accounting data'!$H$2:$H$37002,"1280*",'Accounting data'!$K$2:$K$37002,"6*")-SUMIFS('Accounting data'!$G$2:$G$37002,'Accounting data'!$H$2:$H$37002,"1280*",'Accounting data'!$K$2:$K$37002,"69*")-SUMIFS('Accounting data'!$G$2:$G$37002,'Accounting data'!$H$2:$H$37002,"1280*",'Accounting data'!$K$2:$K$37002,"67*")</f>
        <v>0</v>
      </c>
      <c r="L18" s="252"/>
      <c r="M18" s="52">
        <v>0</v>
      </c>
      <c r="N18" s="552">
        <f t="shared" si="0"/>
        <v>0</v>
      </c>
      <c r="O18" t="s">
        <v>47</v>
      </c>
      <c r="P18" s="548"/>
    </row>
    <row r="19" spans="1:26" x14ac:dyDescent="0.2">
      <c r="A19" t="s">
        <v>331</v>
      </c>
      <c r="D19" s="7" t="s">
        <v>49</v>
      </c>
      <c r="E19" s="550">
        <f>[2]!FP1290EndBal</f>
        <v>0</v>
      </c>
      <c r="F19" s="54">
        <v>0</v>
      </c>
      <c r="G19" s="550">
        <f>-(SUMIFS('Accounting data'!$G$2:$G$37002,'Accounting data'!$H$2:$H$37002,"1290*",'Accounting data'!$K$2:$K$37002,"1*")+SUMIFS('Accounting data'!$G$2:$G$37002,'Accounting data'!$H$2:$H$37002,"1290*",'Accounting data'!$K$2:$K$37002,"2*")+SUMIFS('Accounting data'!$G$2:$G$37002,'Accounting data'!$H$2:$H$37002,"1290*",'Accounting data'!$K$2:$K$37002,"3*")+SUMIFS('Accounting data'!$G$2:$G$37002,'Accounting data'!$H$2:$H$37002,"1290*",'Accounting data'!$K$2:$K$37002,"4*")+SUMIFS('Accounting data'!$G$2:$G$37002,'Accounting data'!$H$2:$H$37002,"1290*",'Accounting data'!$K$2:$K$37002,"Other*"))</f>
        <v>0</v>
      </c>
      <c r="H19" s="552">
        <f>SUMIFS('Accounting data'!$G$2:$G$37002,'Accounting data'!$H$2:$H$37002,"1290*",'Accounting data'!$K$2:$K$37002,"69*")</f>
        <v>0</v>
      </c>
      <c r="I19" s="52">
        <v>0</v>
      </c>
      <c r="J19" s="550">
        <f>[1]!FP1290Medicaid</f>
        <v>0</v>
      </c>
      <c r="K19" s="552">
        <f>SUMIFS('Accounting data'!$G$2:$G$37002,'Accounting data'!$H$2:$H$37002,"1290*",'Accounting data'!$K$2:$K$37002,"6*")-SUMIFS('Accounting data'!$G$2:$G$37002,'Accounting data'!$H$2:$H$37002,"1290*",'Accounting data'!$K$2:$K$37002,"69*")-SUMIFS('Accounting data'!$G$2:$G$37002,'Accounting data'!$H$2:$H$37002,"1290*",'Accounting data'!$K$2:$K$37002,"67*")</f>
        <v>0</v>
      </c>
      <c r="L19" s="252"/>
      <c r="M19" s="52">
        <v>0</v>
      </c>
      <c r="N19" s="552">
        <f t="shared" si="0"/>
        <v>0</v>
      </c>
      <c r="O19" t="s">
        <v>49</v>
      </c>
      <c r="P19" s="117"/>
      <c r="Q19" s="117"/>
      <c r="S19" s="29"/>
    </row>
    <row r="20" spans="1:26" x14ac:dyDescent="0.2">
      <c r="A20" t="s">
        <v>332</v>
      </c>
      <c r="D20" s="66" t="s">
        <v>51</v>
      </c>
      <c r="E20" s="550">
        <f>[2]!FP1300EndBal</f>
        <v>0</v>
      </c>
      <c r="F20" s="54">
        <v>0</v>
      </c>
      <c r="G20" s="550">
        <f>-(SUMIFS('Accounting data'!$G$2:$G$37002,'Accounting data'!$H$2:$H$37002,"1300*",'Accounting data'!$K$2:$K$37002,"1*")+SUMIFS('Accounting data'!$G$2:$G$37002,'Accounting data'!$H$2:$H$37002,"1300*",'Accounting data'!$K$2:$K$37002,"2*")+SUMIFS('Accounting data'!$G$2:$G$37002,'Accounting data'!$H$2:$H$37002,"1300*",'Accounting data'!$K$2:$K$37002,"3*")+SUMIFS('Accounting data'!$G$2:$G$37002,'Accounting data'!$H$2:$H$37002,"1300*",'Accounting data'!$K$2:$K$37002,"4*")+SUMIFS('Accounting data'!$G$2:$G$37002,'Accounting data'!$H$2:$H$37002,"1300*",'Accounting data'!$K$2:$K$37002,"Other*"))</f>
        <v>0</v>
      </c>
      <c r="H20" s="552">
        <f>SUMIFS('Accounting data'!$G$2:$G$37002,'Accounting data'!$H$2:$H$37002,"1300*",'Accounting data'!$K$2:$K$37002,"69*")</f>
        <v>0</v>
      </c>
      <c r="I20" s="52">
        <v>0</v>
      </c>
      <c r="J20" s="550">
        <f>[1]!FP1300Charter</f>
        <v>0</v>
      </c>
      <c r="K20" s="552">
        <f>SUMIFS('Accounting data'!$G$2:$G$37002,'Accounting data'!$H$2:$H$37002,"1300*",'Accounting data'!$K$2:$K$37002,"6*")-SUMIFS('Accounting data'!$G$2:$G$37002,'Accounting data'!$H$2:$H$37002,"1300*",'Accounting data'!$K$2:$K$37002,"69*")-SUMIFS('Accounting data'!$G$2:$G$37002,'Accounting data'!$H$2:$H$37002,"1300*",'Accounting data'!$K$2:$K$37002,"67*")</f>
        <v>0</v>
      </c>
      <c r="L20" s="252"/>
      <c r="M20" s="52">
        <v>0</v>
      </c>
      <c r="N20" s="552">
        <f t="shared" si="0"/>
        <v>0</v>
      </c>
      <c r="O20" s="244" t="s">
        <v>51</v>
      </c>
      <c r="P20" s="117"/>
      <c r="Q20" s="117"/>
      <c r="S20" s="29"/>
    </row>
    <row r="21" spans="1:26" x14ac:dyDescent="0.2">
      <c r="A21" s="212" t="s">
        <v>333</v>
      </c>
      <c r="B21" s="212"/>
      <c r="C21" s="212"/>
      <c r="D21" s="70" t="s">
        <v>53</v>
      </c>
      <c r="E21" s="550">
        <f>[2]!FP13XXImpactAidEndBal</f>
        <v>0</v>
      </c>
      <c r="F21" s="54">
        <v>0</v>
      </c>
      <c r="G21" s="550">
        <f>-(SUMIFS('Accounting data'!$G$2:$G$37002,'Accounting data'!$H$2:$H$37002,"13XX*",'Accounting data'!$K$2:$K$37002,"1*")+SUMIFS('Accounting data'!$G$2:$G$37002,'Accounting data'!$H$2:$H$37002,"13XX*",'Accounting data'!$K$2:$K$37002,"2*")+SUMIFS('Accounting data'!$G$2:$G$37002,'Accounting data'!$H$2:$H$37002,"13XX*",'Accounting data'!$K$2:$K$37002,"3*")+SUMIFS('Accounting data'!$G$2:$G$37002,'Accounting data'!$H$2:$H$37002,"13XX*",'Accounting data'!$K$2:$K$37002,"4*")+SUMIFS('Accounting data'!$G$2:$G$37002,'Accounting data'!$H$2:$H$37002,"13XX*",'Accounting data'!$K$2:$K$37002,"Other*"))</f>
        <v>0</v>
      </c>
      <c r="H21" s="552">
        <f>SUMIFS('Accounting data'!$G$2:$G$37002,'Accounting data'!$H$2:$H$37002,"13XX*",'Accounting data'!$K$2:$K$37002,"69*")</f>
        <v>0</v>
      </c>
      <c r="I21" s="52">
        <v>0</v>
      </c>
      <c r="J21" s="550">
        <f>[1]!FP13__ImpactAid</f>
        <v>0</v>
      </c>
      <c r="K21" s="552">
        <f>SUMIFS('Accounting data'!$G$2:$G$37002,'Accounting data'!$H$2:$H$37002,"13XX*",'Accounting data'!$K$2:$K$37002,"6*")-SUMIFS('Accounting data'!$G$2:$G$37002,'Accounting data'!$H$2:$H$37002,"13XX*",'Accounting data'!$K$2:$K$37002,"69*")-SUMIFS('Accounting data'!$G$2:$G$37002,'Accounting data'!$H$2:$H$37002,"13XX*",'Accounting data'!$K$2:$K$37002,"67*")</f>
        <v>0</v>
      </c>
      <c r="L21" s="252"/>
      <c r="M21" s="52">
        <v>0</v>
      </c>
      <c r="N21" s="552">
        <f t="shared" si="0"/>
        <v>0</v>
      </c>
      <c r="O21" s="244" t="s">
        <v>53</v>
      </c>
      <c r="P21" s="117"/>
      <c r="Q21" s="117"/>
      <c r="S21" s="29"/>
    </row>
    <row r="22" spans="1:26" ht="13.5" thickBot="1" x14ac:dyDescent="0.25">
      <c r="A22" s="212" t="s">
        <v>334</v>
      </c>
      <c r="B22" s="212"/>
      <c r="C22" s="212"/>
      <c r="D22" s="66" t="s">
        <v>55</v>
      </c>
      <c r="E22" s="219">
        <f>[2]!FP13101399EndBal</f>
        <v>0</v>
      </c>
      <c r="F22" s="54">
        <v>0</v>
      </c>
      <c r="G22" s="219">
        <f>-(SUMIFS('Accounting data'!$G$2:$G$37002,'Accounting data'!$H$2:$H$37002,"1310*",'Accounting data'!$K$2:$K$37002,"1*")+SUMIFS('Accounting data'!$G$2:$G$37002,'Accounting data'!$H$2:$H$37002,"1310*",'Accounting data'!$K$2:$K$37002,"2*")+SUMIFS('Accounting data'!$G$2:$G$37002,'Accounting data'!$H$2:$H$37002,"1310*",'Accounting data'!$K$2:$K$37002,"3*")+SUMIFS('Accounting data'!$G$2:$G$37002,'Accounting data'!$H$2:$H$37002,"1310*",'Accounting data'!$K$2:$K$37002,"4*")+SUMIFS('Accounting data'!$G$2:$G$37002,'Accounting data'!$H$2:$H$37002,"1310*",'Accounting data'!$K$2:$K$37002,"Other*"))</f>
        <v>0</v>
      </c>
      <c r="H22" s="225">
        <f>SUMIFS('Accounting data'!$G$2:$G$37002,'Accounting data'!$H$2:$H$37002,"1310*",'Accounting data'!$K$2:$K$37002,"69*")</f>
        <v>0</v>
      </c>
      <c r="I22" s="52">
        <v>0</v>
      </c>
      <c r="J22" s="219">
        <f>[1]!FP13101399Other</f>
        <v>0</v>
      </c>
      <c r="K22" s="225">
        <f>SUMIFS('Accounting data'!$G$2:$G$37002,'Accounting data'!$H$2:$H$37002,"1310*",'Accounting data'!$K$2:$K$37002,"6*")-SUMIFS('Accounting data'!$G$2:$G$37002,'Accounting data'!$H$2:$H$37002,"1310*",'Accounting data'!$K$2:$K$37002,"69*")-SUMIFS('Accounting data'!$G$2:$G$37002,'Accounting data'!$H$2:$H$37002,"1310*",'Accounting data'!$K$2:$K$37002,"67*")</f>
        <v>0</v>
      </c>
      <c r="L22" s="56">
        <v>0</v>
      </c>
      <c r="M22" s="52">
        <v>0</v>
      </c>
      <c r="N22" s="552">
        <f>SUM(IF(F22="",E22,F22)+G22-H22-I22-K22-M22-L22)</f>
        <v>0</v>
      </c>
      <c r="O22" s="244" t="s">
        <v>55</v>
      </c>
      <c r="P22" s="117"/>
      <c r="Q22" s="117"/>
      <c r="S22" s="29"/>
    </row>
    <row r="23" spans="1:26" ht="13.5" thickBot="1" x14ac:dyDescent="0.25">
      <c r="A23" t="s">
        <v>335</v>
      </c>
      <c r="D23" s="66" t="s">
        <v>57</v>
      </c>
      <c r="E23" s="220">
        <f t="shared" ref="E23:M23" si="1">SUM(E6:E22)</f>
        <v>0</v>
      </c>
      <c r="F23" s="220" cm="1">
        <f t="array" ref="F23">SUM(IF(F6:F22="",E6:E22,F6:F22))</f>
        <v>0</v>
      </c>
      <c r="G23" s="220">
        <f t="shared" si="1"/>
        <v>0</v>
      </c>
      <c r="H23" s="220">
        <f t="shared" si="1"/>
        <v>0</v>
      </c>
      <c r="I23" s="220">
        <f>SUM(I6:I22)</f>
        <v>0</v>
      </c>
      <c r="J23" s="220">
        <f>SUM(J6:J22)</f>
        <v>0</v>
      </c>
      <c r="K23" s="220">
        <f t="shared" si="1"/>
        <v>0</v>
      </c>
      <c r="L23" s="220">
        <f>SUM(L6:L22)</f>
        <v>0</v>
      </c>
      <c r="M23" s="220">
        <f t="shared" si="1"/>
        <v>0</v>
      </c>
      <c r="N23" s="552">
        <f>SUM(IF(F23="",E23,F23)+G23-H23-I23-K23-M23)</f>
        <v>0</v>
      </c>
      <c r="O23" s="244" t="s">
        <v>57</v>
      </c>
    </row>
    <row r="24" spans="1:26" ht="13.5" thickTop="1" x14ac:dyDescent="0.2">
      <c r="D24" s="66"/>
      <c r="E24" s="29"/>
      <c r="F24" s="29"/>
      <c r="G24" s="29"/>
      <c r="H24" s="29"/>
      <c r="I24" s="29"/>
      <c r="J24" s="29"/>
      <c r="K24" s="29"/>
      <c r="L24" s="29"/>
      <c r="M24" s="29"/>
      <c r="N24" s="29"/>
      <c r="O24" s="244"/>
    </row>
    <row r="25" spans="1:26" x14ac:dyDescent="0.2">
      <c r="A25" s="212" t="s">
        <v>336</v>
      </c>
      <c r="B25" s="212"/>
      <c r="C25" s="212"/>
      <c r="D25" s="66" t="s">
        <v>59</v>
      </c>
      <c r="E25" s="550">
        <f>'[2]Page 8'!$N$25</f>
        <v>0</v>
      </c>
      <c r="F25" s="54">
        <v>0</v>
      </c>
      <c r="G25" s="552">
        <f>Q25+Z25</f>
        <v>0</v>
      </c>
      <c r="H25" s="550">
        <f t="array" ref="H25">SUM(SUMIFS('Accounting data'!$G$2:$G$37002,'Accounting data'!$H$2:$H$37002,{"1310-1399-COVID-19*","1227*","1228*"},'Accounting data'!$K$2:$K$37002,"69*"))</f>
        <v>0</v>
      </c>
      <c r="I25" s="54">
        <v>0</v>
      </c>
      <c r="J25" s="104"/>
      <c r="K25" s="552">
        <f t="array" ref="K25">SUM(SUMIFS('Accounting data'!$G$2:$G$37002,'Accounting data'!$H$2:$H$37002,{"1310-1399-COVID-19*","1227*","1228*"},'Accounting data'!$K$2:$K$37002,"6*"))-SUM(SUMIFS('Accounting data'!$G$2:$G$37002,'Accounting data'!$H$2:$H$37002,{"1310-1399-COVID-19*","1227*","1228*"},'Accounting data'!$K$2:$K$37002,"69*"))-SUM(SUMIFS('Accounting data'!$G$2:$G$37002,'Accounting data'!$H$2:$H$37002,{"1310-1399-COVID-19*","1227*","1228*"},'Accounting data'!$K$2:$K$37002,"67*"))</f>
        <v>0</v>
      </c>
      <c r="L25" s="52">
        <v>0</v>
      </c>
      <c r="M25" s="54">
        <v>0</v>
      </c>
      <c r="N25" s="552">
        <f>SUM(IF(F25="",E25,F25)+G25-H25-I25-K25-M25-L25)</f>
        <v>0</v>
      </c>
      <c r="O25" s="66" t="s">
        <v>59</v>
      </c>
      <c r="Q25" s="51">
        <f t="array" ref="Q25">-(SUMIFS('Accounting data'!$G$2:$G$37002,'Accounting data'!$H$2:$H$37002,"1310-1399-COVID-19*",'Accounting data'!$K$2:$K$37002,"1*")+SUMIFS('Accounting data'!$G$2:$G$37002,'Accounting data'!$H$2:$H$37002,"1310-1399-COVID-19*",'Accounting data'!$K$2:$K$37002,"2*")+SUMIFS('Accounting data'!$G$2:$G$37002,'Accounting data'!$H$2:$H$37002,"1310-1399-COVID-19*",'Accounting data'!$K$2:$K$37002,"3*")+SUMIFS('Accounting data'!$G$2:$G$37002,'Accounting data'!$H$2:$H$37002,"1310-1399-COVID-19*",'Accounting data'!$K$2:$K$37002,"4*")+SUMIFS('Accounting data'!$G$2:$G$37002,'Accounting data'!$H$2:$H$37002,"1310-1399-COVID-19*",'Accounting data'!$K$2:$K$37002,"Other*")+SUM(SUMIFS('Accounting data'!$G$2:$G$37002,'Accounting data'!$H$2:$H$37002,"1227*",'Accounting data'!$K$2:$K$37002,{"1*","2*","3*","4*","Other*"})))</f>
        <v>0</v>
      </c>
      <c r="R25" s="51"/>
      <c r="S25" s="51"/>
      <c r="T25" s="51"/>
      <c r="U25" s="51"/>
      <c r="V25" s="51"/>
      <c r="W25" s="51"/>
      <c r="X25" s="51"/>
      <c r="Y25" s="51"/>
      <c r="Z25" s="51">
        <f t="array" ref="Z25">-SUM(SUMIFS('Accounting data'!$G$2:$G$37002,'Accounting data'!$H$2:$H$37002,"1228*",'Accounting data'!$K$2:$K$37002,{"1*","2*","3*","4*","Other*"}))</f>
        <v>0</v>
      </c>
    </row>
    <row r="26" spans="1:26" x14ac:dyDescent="0.2">
      <c r="D26" s="66"/>
      <c r="E26" s="29"/>
      <c r="F26" s="29"/>
      <c r="G26" s="29"/>
      <c r="H26" s="29"/>
      <c r="I26" s="29"/>
      <c r="J26" s="29"/>
      <c r="K26" s="29"/>
      <c r="L26" s="29"/>
      <c r="M26" s="29"/>
      <c r="N26" s="29"/>
      <c r="O26" s="244"/>
    </row>
    <row r="27" spans="1:26" x14ac:dyDescent="0.2">
      <c r="A27" s="549" t="s">
        <v>337</v>
      </c>
      <c r="E27" s="215"/>
      <c r="F27" s="215"/>
      <c r="G27" s="215"/>
      <c r="H27" s="215"/>
      <c r="I27" s="215"/>
      <c r="J27" s="215"/>
      <c r="K27" s="215"/>
      <c r="L27" s="215"/>
      <c r="M27" s="215"/>
      <c r="N27" s="215"/>
    </row>
    <row r="28" spans="1:26" x14ac:dyDescent="0.2">
      <c r="A28" t="s">
        <v>338</v>
      </c>
      <c r="D28" s="66" t="s">
        <v>61</v>
      </c>
      <c r="E28" s="550">
        <f>[2]!StP1400EndBal</f>
        <v>0</v>
      </c>
      <c r="F28" s="54">
        <v>0</v>
      </c>
      <c r="G28" s="550">
        <f>-(SUMIFS('Accounting data'!$G$2:$G$37002,'Accounting data'!$H$2:$H$37002,"1400*",'Accounting data'!$K$2:$K$37002,"1*")+SUMIFS('Accounting data'!$G$2:$G$37002,'Accounting data'!$H$2:$H$37002,"1400*",'Accounting data'!$K$2:$K$37002,"2*")+SUMIFS('Accounting data'!$G$2:$G$37002,'Accounting data'!$H$2:$H$37002,"1400*",'Accounting data'!$K$2:$K$37002,"3*")+SUMIFS('Accounting data'!$G$2:$G$37002,'Accounting data'!$H$2:$H$37002,"1400*",'Accounting data'!$K$2:$K$37002,"4*")+SUMIFS('Accounting data'!$G$2:$G$37002,'Accounting data'!$H$2:$H$37002,"1400*",'Accounting data'!$K$2:$K$37002,"Other*"))</f>
        <v>0</v>
      </c>
      <c r="H28" s="102"/>
      <c r="I28" s="52">
        <v>0</v>
      </c>
      <c r="J28" s="550">
        <f>[1]!SP1400VocEd</f>
        <v>0</v>
      </c>
      <c r="K28" s="552">
        <f>SUMIFS('Accounting data'!$G$2:$G$37002,'Accounting data'!$H$2:$H$37002,"1400*",'Accounting data'!$K$2:$K$37002,"6*")-SUMIFS('Accounting data'!$G$2:$G$37002,'Accounting data'!$H$2:$H$37002,"1400*",'Accounting data'!$K$2:$K$37002,"69*")-SUMIFS('Accounting data'!$G$2:$G$37002,'Accounting data'!$H$2:$H$37002,"1400*",'Accounting data'!$K$2:$K$37002,"67*")</f>
        <v>0</v>
      </c>
      <c r="L28" s="52">
        <v>0</v>
      </c>
      <c r="M28" s="52">
        <v>0</v>
      </c>
      <c r="N28" s="552">
        <f>SUM(IF(F28="",E28,F28)+G28-H28-I28-K28-L28-M28)</f>
        <v>0</v>
      </c>
      <c r="O28" s="66" t="s">
        <v>61</v>
      </c>
    </row>
    <row r="29" spans="1:26" x14ac:dyDescent="0.2">
      <c r="A29" t="s">
        <v>339</v>
      </c>
      <c r="D29" s="66" t="s">
        <v>63</v>
      </c>
      <c r="E29" s="550">
        <f>[2]!StP1410EndBal</f>
        <v>0</v>
      </c>
      <c r="F29" s="54">
        <v>0</v>
      </c>
      <c r="G29" s="550">
        <f>-(SUMIFS('Accounting data'!$G$2:$G$37002,'Accounting data'!$H$2:$H$37002,"1410*",'Accounting data'!$K$2:$K$37002,"1*")+SUMIFS('Accounting data'!$G$2:$G$37002,'Accounting data'!$H$2:$H$37002,"1410*",'Accounting data'!$K$2:$K$37002,"2*")+SUMIFS('Accounting data'!$G$2:$G$37002,'Accounting data'!$H$2:$H$37002,"1410*",'Accounting data'!$K$2:$K$37002,"3*")+SUMIFS('Accounting data'!$G$2:$G$37002,'Accounting data'!$H$2:$H$37002,"1410*",'Accounting data'!$K$2:$K$37002,"4*")+SUMIFS('Accounting data'!$G$2:$G$37002,'Accounting data'!$H$2:$H$37002,"1410*",'Accounting data'!$K$2:$K$37002,"Other*"))</f>
        <v>0</v>
      </c>
      <c r="H29" s="102"/>
      <c r="I29" s="52">
        <v>0</v>
      </c>
      <c r="J29" s="550">
        <f>[1]!SP1410EarlyChildhoodBlockGrant</f>
        <v>0</v>
      </c>
      <c r="K29" s="552">
        <f>SUMIFS('Accounting data'!$G$2:$G$37002,'Accounting data'!$H$2:$H$37002,"1410*",'Accounting data'!$K$2:$K$37002,"6*")-SUMIFS('Accounting data'!$G$2:$G$37002,'Accounting data'!$H$2:$H$37002,"1410*",'Accounting data'!$K$2:$K$37002,"69*")-SUMIFS('Accounting data'!$G$2:$G$37002,'Accounting data'!$H$2:$H$37002,"1410*",'Accounting data'!$K$2:$K$37002,"67*")</f>
        <v>0</v>
      </c>
      <c r="L29" s="52">
        <v>0</v>
      </c>
      <c r="M29" s="52">
        <v>0</v>
      </c>
      <c r="N29" s="552">
        <f t="shared" ref="N29:N39" si="2">SUM(IF(F29="",E29,F29)+G29-H29-I29-K29-L29-M29)</f>
        <v>0</v>
      </c>
      <c r="O29" s="66" t="s">
        <v>63</v>
      </c>
    </row>
    <row r="30" spans="1:26" x14ac:dyDescent="0.2">
      <c r="A30" t="s">
        <v>340</v>
      </c>
      <c r="D30" s="66" t="s">
        <v>65</v>
      </c>
      <c r="E30" s="550">
        <f>[2]!StP1420EndBal</f>
        <v>0</v>
      </c>
      <c r="F30" s="54">
        <v>0</v>
      </c>
      <c r="G30" s="550">
        <f>-(SUMIFS('Accounting data'!$G$2:$G$37002,'Accounting data'!$H$2:$H$37002,"1420*",'Accounting data'!$K$2:$K$37002,"1*")+SUMIFS('Accounting data'!$G$2:$G$37002,'Accounting data'!$H$2:$H$37002,"1420*",'Accounting data'!$K$2:$K$37002,"2*")+SUMIFS('Accounting data'!$G$2:$G$37002,'Accounting data'!$H$2:$H$37002,"1420*",'Accounting data'!$K$2:$K$37002,"3*")+SUMIFS('Accounting data'!$G$2:$G$37002,'Accounting data'!$H$2:$H$37002,"1420*",'Accounting data'!$K$2:$K$37002,"4*")+SUMIFS('Accounting data'!$G$2:$G$37002,'Accounting data'!$H$2:$H$37002,"1420*",'Accounting data'!$K$2:$K$37002,"Other*"))</f>
        <v>0</v>
      </c>
      <c r="H30" s="102"/>
      <c r="I30" s="52">
        <v>0</v>
      </c>
      <c r="J30" s="550">
        <f>[1]!FP1420ExtendedSchool</f>
        <v>0</v>
      </c>
      <c r="K30" s="552">
        <f>SUMIFS('Accounting data'!$G$2:$G$37002,'Accounting data'!$H$2:$H$37002,"1420*",'Accounting data'!$K$2:$K$37002,"6*")-SUMIFS('Accounting data'!$G$2:$G$37002,'Accounting data'!$H$2:$H$37002,"1420*",'Accounting data'!$K$2:$K$37002,"69*")-SUMIFS('Accounting data'!$G$2:$G$37002,'Accounting data'!$H$2:$H$37002,"1420*",'Accounting data'!$K$2:$K$37002,"67*")</f>
        <v>0</v>
      </c>
      <c r="L30" s="52">
        <v>0</v>
      </c>
      <c r="M30" s="52">
        <v>0</v>
      </c>
      <c r="N30" s="552">
        <f t="shared" si="2"/>
        <v>0</v>
      </c>
      <c r="O30" s="66" t="s">
        <v>65</v>
      </c>
    </row>
    <row r="31" spans="1:26" x14ac:dyDescent="0.2">
      <c r="A31" t="s">
        <v>341</v>
      </c>
      <c r="D31" s="66" t="s">
        <v>67</v>
      </c>
      <c r="E31" s="550">
        <f>[2]!StP1425EndBal</f>
        <v>0</v>
      </c>
      <c r="F31" s="54">
        <v>0</v>
      </c>
      <c r="G31" s="550">
        <f>-(SUMIFS('Accounting data'!$G$2:$G$37002,'Accounting data'!$H$2:$H$37002,"1425*",'Accounting data'!$K$2:$K$37002,"1*")+SUMIFS('Accounting data'!$G$2:$G$37002,'Accounting data'!$H$2:$H$37002,"1425*",'Accounting data'!$K$2:$K$37002,"2*")+SUMIFS('Accounting data'!$G$2:$G$37002,'Accounting data'!$H$2:$H$37002,"1425*",'Accounting data'!$K$2:$K$37002,"3*")+SUMIFS('Accounting data'!$G$2:$G$37002,'Accounting data'!$H$2:$H$37002,"1425*",'Accounting data'!$K$2:$K$37002,"4*")+SUMIFS('Accounting data'!$G$2:$G$37002,'Accounting data'!$H$2:$H$37002,"1425*",'Accounting data'!$K$2:$K$37002,"Other*"))</f>
        <v>0</v>
      </c>
      <c r="H31" s="102"/>
      <c r="I31" s="52">
        <v>0</v>
      </c>
      <c r="J31" s="550">
        <f>[1]!SP1425AdultBasicEd</f>
        <v>0</v>
      </c>
      <c r="K31" s="552">
        <f>SUMIFS('Accounting data'!$G$2:$G$37002,'Accounting data'!$H$2:$H$37002,"1425*",'Accounting data'!$K$2:$K$37002,"6*")-SUMIFS('Accounting data'!$G$2:$G$37002,'Accounting data'!$H$2:$H$37002,"1425*",'Accounting data'!$K$2:$K$37002,"69*")-SUMIFS('Accounting data'!$G$2:$G$37002,'Accounting data'!$H$2:$H$37002,"1425*",'Accounting data'!$K$2:$K$37002,"67*")</f>
        <v>0</v>
      </c>
      <c r="L31" s="52">
        <v>0</v>
      </c>
      <c r="M31" s="52">
        <v>0</v>
      </c>
      <c r="N31" s="552">
        <f t="shared" si="2"/>
        <v>0</v>
      </c>
      <c r="O31" s="66" t="s">
        <v>67</v>
      </c>
    </row>
    <row r="32" spans="1:26" x14ac:dyDescent="0.2">
      <c r="A32" t="s">
        <v>342</v>
      </c>
      <c r="D32" s="66" t="s">
        <v>69</v>
      </c>
      <c r="E32" s="550">
        <f>[2]!StP1430EndBal</f>
        <v>0</v>
      </c>
      <c r="F32" s="54">
        <v>0</v>
      </c>
      <c r="G32" s="550">
        <f>-(SUMIFS('Accounting data'!$G$2:$G$37002,'Accounting data'!$H$2:$H$37002,"1430*",'Accounting data'!$K$2:$K$37002,"1*")+SUMIFS('Accounting data'!$G$2:$G$37002,'Accounting data'!$H$2:$H$37002,"1430*",'Accounting data'!$K$2:$K$37002,"2*")+SUMIFS('Accounting data'!$G$2:$G$37002,'Accounting data'!$H$2:$H$37002,"1430*",'Accounting data'!$K$2:$K$37002,"3*")+SUMIFS('Accounting data'!$G$2:$G$37002,'Accounting data'!$H$2:$H$37002,"1430*",'Accounting data'!$K$2:$K$37002,"4*")+SUMIFS('Accounting data'!$G$2:$G$37002,'Accounting data'!$H$2:$H$37002,"1430*",'Accounting data'!$K$2:$K$37002,"Other*"))</f>
        <v>0</v>
      </c>
      <c r="H32" s="102"/>
      <c r="I32" s="52">
        <v>0</v>
      </c>
      <c r="J32" s="550">
        <f>[1]!SP1430ChemicalAbuse</f>
        <v>0</v>
      </c>
      <c r="K32" s="552">
        <f>SUMIFS('Accounting data'!$G$2:$G$37002,'Accounting data'!$H$2:$H$37002,"1430*",'Accounting data'!$K$2:$K$37002,"6*")-SUMIFS('Accounting data'!$G$2:$G$37002,'Accounting data'!$H$2:$H$37002,"1430*",'Accounting data'!$K$2:$K$37002,"69*")-SUMIFS('Accounting data'!$G$2:$G$37002,'Accounting data'!$H$2:$H$37002,"1430*",'Accounting data'!$K$2:$K$37002,"67*")</f>
        <v>0</v>
      </c>
      <c r="L32" s="52">
        <v>0</v>
      </c>
      <c r="M32" s="52">
        <v>0</v>
      </c>
      <c r="N32" s="552">
        <f t="shared" si="2"/>
        <v>0</v>
      </c>
      <c r="O32" s="66" t="s">
        <v>69</v>
      </c>
    </row>
    <row r="33" spans="1:15" ht="12.75" customHeight="1" x14ac:dyDescent="0.2">
      <c r="A33" t="s">
        <v>343</v>
      </c>
      <c r="D33" s="66" t="s">
        <v>71</v>
      </c>
      <c r="E33" s="550">
        <f>[2]!StP1435EndBal</f>
        <v>0</v>
      </c>
      <c r="F33" s="54">
        <v>0</v>
      </c>
      <c r="G33" s="550">
        <f>-(SUMIFS('Accounting data'!$G$2:$G$37002,'Accounting data'!$H$2:$H$37002,"1435*",'Accounting data'!$K$2:$K$37002,"1*")+SUMIFS('Accounting data'!$G$2:$G$37002,'Accounting data'!$H$2:$H$37002,"1435*",'Accounting data'!$K$2:$K$37002,"2*")+SUMIFS('Accounting data'!$G$2:$G$37002,'Accounting data'!$H$2:$H$37002,"1435*",'Accounting data'!$K$2:$K$37002,"3*")+SUMIFS('Accounting data'!$G$2:$G$37002,'Accounting data'!$H$2:$H$37002,"1435*",'Accounting data'!$K$2:$K$37002,"4*")+SUMIFS('Accounting data'!$G$2:$G$37002,'Accounting data'!$H$2:$H$37002,"1435*",'Accounting data'!$K$2:$K$37002,"Other*"))</f>
        <v>0</v>
      </c>
      <c r="H33" s="102"/>
      <c r="I33" s="52">
        <v>0</v>
      </c>
      <c r="J33" s="550">
        <f>[1]!SP1435AcademicContests</f>
        <v>0</v>
      </c>
      <c r="K33" s="552">
        <f>SUMIFS('Accounting data'!$G$2:$G$37002,'Accounting data'!$H$2:$H$37002,"1435*",'Accounting data'!$K$2:$K$37002,"6*")-SUMIFS('Accounting data'!$G$2:$G$37002,'Accounting data'!$H$2:$H$37002,"1435*",'Accounting data'!$K$2:$K$37002,"69*")-SUMIFS('Accounting data'!$G$2:$G$37002,'Accounting data'!$H$2:$H$37002,"1435*",'Accounting data'!$K$2:$K$37002,"67*")</f>
        <v>0</v>
      </c>
      <c r="L33" s="52">
        <v>0</v>
      </c>
      <c r="M33" s="52">
        <v>0</v>
      </c>
      <c r="N33" s="552">
        <f t="shared" si="2"/>
        <v>0</v>
      </c>
      <c r="O33" s="66" t="s">
        <v>71</v>
      </c>
    </row>
    <row r="34" spans="1:15" ht="12.75" customHeight="1" x14ac:dyDescent="0.2">
      <c r="A34" t="s">
        <v>344</v>
      </c>
      <c r="D34" s="66" t="s">
        <v>73</v>
      </c>
      <c r="E34" s="550">
        <f>[2]!StP1450EndBal</f>
        <v>0</v>
      </c>
      <c r="F34" s="54">
        <v>0</v>
      </c>
      <c r="G34" s="550">
        <f>-(SUMIFS('Accounting data'!$G$2:$G$37002,'Accounting data'!$H$2:$H$37002,"1450*",'Accounting data'!$K$2:$K$37002,"1*")+SUMIFS('Accounting data'!$G$2:$G$37002,'Accounting data'!$H$2:$H$37002,"1450*",'Accounting data'!$K$2:$K$37002,"2*")+SUMIFS('Accounting data'!$G$2:$G$37002,'Accounting data'!$H$2:$H$37002,"1450*",'Accounting data'!$K$2:$K$37002,"3*")+SUMIFS('Accounting data'!$G$2:$G$37002,'Accounting data'!$H$2:$H$37002,"1450*",'Accounting data'!$K$2:$K$37002,"4*")+SUMIFS('Accounting data'!$G$2:$G$37002,'Accounting data'!$H$2:$H$37002,"1450*",'Accounting data'!$K$2:$K$37002,"Other*"))</f>
        <v>0</v>
      </c>
      <c r="H34" s="102"/>
      <c r="I34" s="52">
        <v>0</v>
      </c>
      <c r="J34" s="550">
        <f>[1]!SP1450GiftedEd</f>
        <v>0</v>
      </c>
      <c r="K34" s="552">
        <f>SUMIFS('Accounting data'!$G$2:$G$37002,'Accounting data'!$H$2:$H$37002,"1450*",'Accounting data'!$K$2:$K$37002,"6*")-SUMIFS('Accounting data'!$G$2:$G$37002,'Accounting data'!$H$2:$H$37002,"1450*",'Accounting data'!$K$2:$K$37002,"69*")-SUMIFS('Accounting data'!$G$2:$G$37002,'Accounting data'!$H$2:$H$37002,"1450*",'Accounting data'!$K$2:$K$37002,"67*")</f>
        <v>0</v>
      </c>
      <c r="L34" s="52">
        <v>0</v>
      </c>
      <c r="M34" s="52">
        <v>0</v>
      </c>
      <c r="N34" s="552">
        <f t="shared" si="2"/>
        <v>0</v>
      </c>
      <c r="O34" s="66" t="s">
        <v>73</v>
      </c>
    </row>
    <row r="35" spans="1:15" ht="12.75" customHeight="1" x14ac:dyDescent="0.2">
      <c r="A35" t="s">
        <v>345</v>
      </c>
      <c r="D35" s="66" t="s">
        <v>75</v>
      </c>
      <c r="E35" s="550" cm="1">
        <f t="array" ref="E35">[2]!StP1456EndBal</f>
        <v>0</v>
      </c>
      <c r="F35" s="54">
        <v>0</v>
      </c>
      <c r="G35" s="550">
        <f>-(SUMIFS('Accounting data'!$G$2:$G$37002,'Accounting data'!$H$2:$H$37002,"1456*",'Accounting data'!$K$2:$K$37002,"1*")+SUMIFS('Accounting data'!$G$2:$G$37002,'Accounting data'!$H$2:$H$37002,"1456*",'Accounting data'!$K$2:$K$37002,"2*")+SUMIFS('Accounting data'!$G$2:$G$37002,'Accounting data'!$H$2:$H$37002,"1456*",'Accounting data'!$K$2:$K$37002,"3*")+SUMIFS('Accounting data'!$G$2:$G$37002,'Accounting data'!$H$2:$H$37002,"1456*",'Accounting data'!$K$2:$K$37002,"4*")+SUMIFS('Accounting data'!$G$2:$G$37002,'Accounting data'!$H$2:$H$37002,"1456*",'Accounting data'!$K$2:$K$37002,"Other*"))</f>
        <v>2232</v>
      </c>
      <c r="H35" s="102"/>
      <c r="I35" s="52">
        <v>0</v>
      </c>
      <c r="J35" s="550">
        <f>+'[1]Page 2'!$E$31</f>
        <v>0</v>
      </c>
      <c r="K35" s="552">
        <f>SUMIFS('Accounting data'!$G$2:$G$37002,'Accounting data'!$H$2:$H$37002,"1456*",'Accounting data'!$K$2:$K$37002,"6*")-SUMIFS('Accounting data'!$G$2:$G$37002,'Accounting data'!$H$2:$H$37002,"1456*",'Accounting data'!$K$2:$K$37002,"69*")-SUMIFS('Accounting data'!$G$2:$G$37002,'Accounting data'!$H$2:$H$37002,"1456*",'Accounting data'!$K$2:$K$37002,"67*")</f>
        <v>2232</v>
      </c>
      <c r="L35" s="52">
        <v>0</v>
      </c>
      <c r="M35" s="52">
        <v>0</v>
      </c>
      <c r="N35" s="552">
        <f t="shared" si="2"/>
        <v>0</v>
      </c>
      <c r="O35" s="66" t="s">
        <v>75</v>
      </c>
    </row>
    <row r="36" spans="1:15" x14ac:dyDescent="0.2">
      <c r="A36" t="s">
        <v>346</v>
      </c>
      <c r="D36" s="66" t="s">
        <v>77</v>
      </c>
      <c r="E36" s="550">
        <f>[2]!StP1460EndBal</f>
        <v>0</v>
      </c>
      <c r="F36" s="54">
        <v>0</v>
      </c>
      <c r="G36" s="550">
        <f>-(SUMIFS('Accounting data'!$G$2:$G$37002,'Accounting data'!$H$2:$H$37002,"1460*",'Accounting data'!$K$2:$K$37002,"1*")+SUMIFS('Accounting data'!$G$2:$G$37002,'Accounting data'!$H$2:$H$37002,"1460*",'Accounting data'!$K$2:$K$37002,"2*")+SUMIFS('Accounting data'!$G$2:$G$37002,'Accounting data'!$H$2:$H$37002,"1460*",'Accounting data'!$K$2:$K$37002,"3*")+SUMIFS('Accounting data'!$G$2:$G$37002,'Accounting data'!$H$2:$H$37002,"1460*",'Accounting data'!$K$2:$K$37002,"4*")+SUMIFS('Accounting data'!$G$2:$G$37002,'Accounting data'!$H$2:$H$37002,"1460*",'Accounting data'!$K$2:$K$37002,"Other*"))</f>
        <v>0</v>
      </c>
      <c r="H36" s="185"/>
      <c r="I36" s="52">
        <v>0</v>
      </c>
      <c r="J36" s="550">
        <f>[1]!SP1460EnvironmentalSpecialPlate</f>
        <v>0</v>
      </c>
      <c r="K36" s="552">
        <f>SUMIFS('Accounting data'!$G$2:$G$37002,'Accounting data'!$H$2:$H$37002,"1460*",'Accounting data'!$K$2:$K$37002,"6*")-SUMIFS('Accounting data'!$G$2:$G$37002,'Accounting data'!$H$2:$H$37002,"1460*",'Accounting data'!$K$2:$K$37002,"69*")-SUMIFS('Accounting data'!$G$2:$G$37002,'Accounting data'!$H$2:$H$37002,"1460*",'Accounting data'!$K$2:$K$37002,"67*")</f>
        <v>0</v>
      </c>
      <c r="L36" s="52">
        <v>0</v>
      </c>
      <c r="M36" s="52">
        <v>0</v>
      </c>
      <c r="N36" s="552">
        <f t="shared" si="2"/>
        <v>0</v>
      </c>
      <c r="O36" s="66" t="s">
        <v>79</v>
      </c>
    </row>
    <row r="37" spans="1:15" ht="12.75" customHeight="1" x14ac:dyDescent="0.2">
      <c r="A37" t="s">
        <v>347</v>
      </c>
      <c r="D37" s="66" t="s">
        <v>79</v>
      </c>
      <c r="E37" s="550">
        <f>[2]!StP1465EndBal</f>
        <v>0</v>
      </c>
      <c r="F37" s="54">
        <v>0</v>
      </c>
      <c r="G37" s="550">
        <f>-(SUMIFS('Accounting data'!$G$2:$G$37002,'Accounting data'!$H$2:$H$37002,"1465*",'Accounting data'!$K$2:$K$37002,"1*")+SUMIFS('Accounting data'!$G$2:$G$37002,'Accounting data'!$H$2:$H$37002,"1465*",'Accounting data'!$K$2:$K$37002,"2*")+SUMIFS('Accounting data'!$G$2:$G$37002,'Accounting data'!$H$2:$H$37002,"1465*",'Accounting data'!$K$2:$K$37002,"3*")+SUMIFS('Accounting data'!$G$2:$G$37002,'Accounting data'!$H$2:$H$37002,"1465*",'Accounting data'!$K$2:$K$37002,"4*")+SUMIFS('Accounting data'!$G$2:$G$37002,'Accounting data'!$H$2:$H$37002,"1465*",'Accounting data'!$K$2:$K$37002,"Other*"))</f>
        <v>0</v>
      </c>
      <c r="H37" s="253"/>
      <c r="I37" s="52">
        <v>0</v>
      </c>
      <c r="J37" s="550">
        <f>[1]!SP1465CharterSchool</f>
        <v>0</v>
      </c>
      <c r="K37" s="552">
        <f>SUMIFS('Accounting data'!$G$2:$G$37002,'Accounting data'!$H$2:$H$37002,"1465*",'Accounting data'!$K$2:$K$37002,"6*")-SUMIFS('Accounting data'!$G$2:$G$37002,'Accounting data'!$H$2:$H$37002,"1465*",'Accounting data'!$K$2:$K$37002,"69*")-SUMIFS('Accounting data'!$G$2:$G$37002,'Accounting data'!$H$2:$H$37002,"1465*",'Accounting data'!$K$2:$K$37002,"67*")</f>
        <v>0</v>
      </c>
      <c r="L37" s="52">
        <v>0</v>
      </c>
      <c r="M37" s="52">
        <v>0</v>
      </c>
      <c r="N37" s="552">
        <f t="shared" si="2"/>
        <v>0</v>
      </c>
      <c r="O37" s="66" t="s">
        <v>81</v>
      </c>
    </row>
    <row r="38" spans="1:15" ht="12.75" customHeight="1" x14ac:dyDescent="0.2">
      <c r="A38" s="254" t="s">
        <v>348</v>
      </c>
      <c r="B38" s="254"/>
      <c r="C38" s="254"/>
      <c r="D38" s="70" t="s">
        <v>81</v>
      </c>
      <c r="E38" s="550">
        <f t="array" ref="E38">[2]!StP14XXEndBal</f>
        <v>0</v>
      </c>
      <c r="F38" s="54">
        <v>0</v>
      </c>
      <c r="G38" s="550">
        <f>-(SUMIFS('Accounting data'!$G$2:$G$37002,'Accounting data'!$H$2:$H$37002,"14XX*",'Accounting data'!$K$2:$K$37002,"1*")+SUMIFS('Accounting data'!$G$2:$G$37002,'Accounting data'!$H$2:$H$37002,"14XX*",'Accounting data'!$K$2:$K$37002,"2*")+SUMIFS('Accounting data'!$G$2:$G$37002,'Accounting data'!$H$2:$H$37002,"14XX*",'Accounting data'!$K$2:$K$37002,"3*")+SUMIFS('Accounting data'!$G$2:$G$37002,'Accounting data'!$H$2:$H$37002,"14XX*",'Accounting data'!$K$2:$K$37002,"4*")+SUMIFS('Accounting data'!$G$2:$G$37002,'Accounting data'!$H$2:$H$37002,"14XX*",'Accounting data'!$K$2:$K$37002,"Other*"))</f>
        <v>0</v>
      </c>
      <c r="H38" s="253"/>
      <c r="I38" s="52">
        <v>0</v>
      </c>
      <c r="J38" s="550">
        <f>'[1]Page 2'!$E$34</f>
        <v>0</v>
      </c>
      <c r="K38" s="552">
        <f>SUMIFS('Accounting data'!$G$2:$G$37002,'Accounting data'!$H$2:$H$37002,"14XX*",'Accounting data'!$K$2:$K$37002,"6*")-SUMIFS('Accounting data'!$G$2:$G$37002,'Accounting data'!$H$2:$H$37002,"14XX*",'Accounting data'!$K$2:$K$37002,"69*")-SUMIFS('Accounting data'!$G$2:$G$37002,'Accounting data'!$H$2:$H$37002,"14XX*",'Accounting data'!$K$2:$K$37002,"67*")</f>
        <v>0</v>
      </c>
      <c r="L38" s="52">
        <v>0</v>
      </c>
      <c r="M38" s="52">
        <v>0</v>
      </c>
      <c r="N38" s="552">
        <f t="shared" si="2"/>
        <v>0</v>
      </c>
      <c r="O38" s="70" t="s">
        <v>83</v>
      </c>
    </row>
    <row r="39" spans="1:15" ht="12.75" customHeight="1" thickBot="1" x14ac:dyDescent="0.25">
      <c r="A39" t="s">
        <v>349</v>
      </c>
      <c r="D39" s="66" t="s">
        <v>83</v>
      </c>
      <c r="E39" s="219">
        <f>[2]!StP14701499EndBal</f>
        <v>0</v>
      </c>
      <c r="F39" s="57">
        <v>0</v>
      </c>
      <c r="G39" s="219">
        <f>-(SUMIFS('Accounting data'!$G$2:$G$37002,'Accounting data'!$H$2:$H$37002,"1470*",'Accounting data'!$K$2:$K$37002,"1*")+SUMIFS('Accounting data'!$G$2:$G$37002,'Accounting data'!$H$2:$H$37002,"1470*",'Accounting data'!$K$2:$K$37002,"2*")+SUMIFS('Accounting data'!$G$2:$G$37002,'Accounting data'!$H$2:$H$37002,"1470*",'Accounting data'!$K$2:$K$37002,"3*")+SUMIFS('Accounting data'!$G$2:$G$37002,'Accounting data'!$H$2:$H$37002,"1470*",'Accounting data'!$K$2:$K$37002,"4*")+SUMIFS('Accounting data'!$G$2:$G$37002,'Accounting data'!$H$2:$H$37002,"1470*",'Accounting data'!$K$2:$K$37002,"Other*"))</f>
        <v>0</v>
      </c>
      <c r="H39" s="255"/>
      <c r="I39" s="56">
        <v>0</v>
      </c>
      <c r="J39" s="219">
        <f>[1]!SP14701499Other</f>
        <v>0</v>
      </c>
      <c r="K39" s="225">
        <f>SUMIFS('Accounting data'!$G$2:$G$37002,'Accounting data'!$H$2:$H$37002,"1470*",'Accounting data'!$K$2:$K$37002,"6*")-SUMIFS('Accounting data'!$G$2:$G$37002,'Accounting data'!$H$2:$H$37002,"1470*",'Accounting data'!$K$2:$K$37002,"69*")-SUMIFS('Accounting data'!$G$2:$G$37002,'Accounting data'!$H$2:$H$37002,"1470*",'Accounting data'!$K$2:$K$37002,"67*")</f>
        <v>0</v>
      </c>
      <c r="L39" s="56">
        <v>0</v>
      </c>
      <c r="M39" s="56">
        <v>0</v>
      </c>
      <c r="N39" s="552">
        <f t="shared" si="2"/>
        <v>0</v>
      </c>
      <c r="O39" s="66" t="s">
        <v>84</v>
      </c>
    </row>
    <row r="40" spans="1:15" ht="13.5" thickBot="1" x14ac:dyDescent="0.25">
      <c r="A40" t="s">
        <v>1129</v>
      </c>
      <c r="D40" s="66" t="s">
        <v>84</v>
      </c>
      <c r="E40" s="220">
        <f>SUM(E28:E39)</f>
        <v>0</v>
      </c>
      <c r="F40" s="220" cm="1">
        <f t="array" ref="F40">SUM(IF(F28:F39="",E28:E39,F28:F39))</f>
        <v>0</v>
      </c>
      <c r="G40" s="220">
        <f>SUM(G28:G39)</f>
        <v>2232</v>
      </c>
      <c r="H40" s="256"/>
      <c r="I40" s="220">
        <f>SUM(I28:I39)</f>
        <v>0</v>
      </c>
      <c r="J40" s="220">
        <f>SUM(J28:J39)</f>
        <v>0</v>
      </c>
      <c r="K40" s="220">
        <f>SUM(K28:K39)</f>
        <v>2232</v>
      </c>
      <c r="L40" s="220">
        <f>SUM(L28:L39)</f>
        <v>0</v>
      </c>
      <c r="M40" s="220">
        <f>SUM(M28:M39)</f>
        <v>0</v>
      </c>
      <c r="N40" s="552">
        <f>SUM(IF(F40="",E40,F40)+G40-H40-I40-K40-L40-M40)</f>
        <v>0</v>
      </c>
      <c r="O40" s="66" t="s">
        <v>137</v>
      </c>
    </row>
    <row r="41" spans="1:15" ht="13.5" thickTop="1" x14ac:dyDescent="0.2">
      <c r="D41" s="257"/>
      <c r="E41" s="29"/>
      <c r="F41" s="29"/>
      <c r="G41" s="29"/>
      <c r="H41" s="29"/>
      <c r="I41" s="29"/>
      <c r="J41" s="29"/>
      <c r="K41" s="29"/>
      <c r="L41" s="29"/>
      <c r="M41" s="29"/>
      <c r="N41" s="29"/>
      <c r="O41" s="258"/>
    </row>
    <row r="42" spans="1:15" ht="13.5" thickBot="1" x14ac:dyDescent="0.25">
      <c r="A42" s="212" t="s">
        <v>1128</v>
      </c>
      <c r="B42" s="212"/>
      <c r="C42" s="212"/>
      <c r="D42" s="66" t="s">
        <v>137</v>
      </c>
      <c r="E42" s="259">
        <f>SUM(E23+E40)</f>
        <v>0</v>
      </c>
      <c r="F42" s="259">
        <f>SUM(F23+F40)</f>
        <v>0</v>
      </c>
      <c r="G42" s="259">
        <f>SUM(G23+G40)</f>
        <v>2232</v>
      </c>
      <c r="H42" s="558">
        <f>H23</f>
        <v>0</v>
      </c>
      <c r="I42" s="259">
        <f>SUM(I23+I40)</f>
        <v>0</v>
      </c>
      <c r="J42" s="259">
        <f>SUM(J23+J40)</f>
        <v>0</v>
      </c>
      <c r="K42" s="259">
        <f>SUM(K23+K40)</f>
        <v>2232</v>
      </c>
      <c r="L42" s="259">
        <f>SUM(L23+L40)</f>
        <v>0</v>
      </c>
      <c r="M42" s="259">
        <f>SUM(M23+M40)</f>
        <v>0</v>
      </c>
      <c r="N42" s="552">
        <f>SUM(IF(F42="",E42,F42)+G42-H42-I42-K42-L42-M42)</f>
        <v>0</v>
      </c>
      <c r="O42" s="66" t="s">
        <v>138</v>
      </c>
    </row>
  </sheetData>
  <sheetProtection sheet="1" formatCells="0" formatColumns="0" formatRows="0"/>
  <mergeCells count="5">
    <mergeCell ref="A3:D3"/>
    <mergeCell ref="B1:D1"/>
    <mergeCell ref="H1:I1"/>
    <mergeCell ref="J4:K4"/>
    <mergeCell ref="B4:C4"/>
  </mergeCells>
  <conditionalFormatting sqref="F6:F22 F25 F28:F39">
    <cfRule type="expression" dxfId="49" priority="1" stopIfTrue="1">
      <formula>$F6=""</formula>
    </cfRule>
  </conditionalFormatting>
  <conditionalFormatting sqref="I6:I22 I28:I39">
    <cfRule type="expression" dxfId="48" priority="7" stopIfTrue="1">
      <formula>$I6=""</formula>
    </cfRule>
  </conditionalFormatting>
  <conditionalFormatting sqref="I25 M25">
    <cfRule type="expression" dxfId="47" priority="5" stopIfTrue="1">
      <formula>I$25=""</formula>
    </cfRule>
  </conditionalFormatting>
  <conditionalFormatting sqref="L22 L28:L39">
    <cfRule type="containsBlanks" dxfId="46" priority="4">
      <formula>LEN(TRIM(L22))=0</formula>
    </cfRule>
  </conditionalFormatting>
  <conditionalFormatting sqref="L25">
    <cfRule type="containsBlanks" dxfId="45" priority="3">
      <formula>LEN(TRIM(L25))=0</formula>
    </cfRule>
  </conditionalFormatting>
  <conditionalFormatting sqref="M6:M22 M28:M39">
    <cfRule type="expression" dxfId="44" priority="6" stopIfTrue="1">
      <formula>$M6=""</formula>
    </cfRule>
  </conditionalFormatting>
  <hyperlinks>
    <hyperlink ref="A3:D3" location="FederalAndStateProjectsPage9" display="FEDERAL AND STATE PROJECTS"/>
    <hyperlink ref="A42:C42" location="FederalAndStateProjectsPage9Line30" display="     Total Federal and State Projects (lines 17 and 29)"/>
    <hyperlink ref="A21:C22" location="ImpactAidandOtherFederalProjects" display="13__ Impact Aid"/>
    <hyperlink ref="A25:C25" location="ImpactAidandOtherFederalProjects" display="Total COVID-19 federal relief projects included in line 17"/>
    <hyperlink ref="F3" location="FederalAndStateProjectsAdjustedBeginningProjectBalance" display="Adjusted"/>
    <hyperlink ref="F4" location="FederalAndStateProjectsAdjustedBeginningProjectBalance" display="Beginning"/>
    <hyperlink ref="F5" location="FederalAndStateProjectsAdjustedBeginningProjectBalance" display="Project Balance"/>
    <hyperlink ref="B4" location="FederalAndStateProjectsPage9" display="Instructions"/>
  </hyperlinks>
  <pageMargins left="0.7" right="0.7" top="0.75" bottom="0.75" header="0.3" footer="0.3"/>
  <pageSetup paperSize="5" scale="89" orientation="landscape" r:id="rId1"/>
  <headerFooter>
    <oddFooter>&amp;LRev. 8/25 Arizona Department of Education and Auditor General&amp;CFY 2025
No assurance provided.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AF72CDD0-BFD7-4CF9-8D50-A11CFBB8E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BBB4F38B-0799-4886-B61C-8DBB46B47F73}">
  <ds:schemaRefs>
    <ds:schemaRef ds:uri="8385876d-3ffd-449d-b709-a8df02b96ae7"/>
    <ds:schemaRef ds:uri="http://purl.org/dc/terms/"/>
    <ds:schemaRef ds:uri="http://schemas.microsoft.com/office/2006/documentManagement/types"/>
    <ds:schemaRef ds:uri="ffcdc2e4-c8f2-4bf7-ab1d-ea300bde3fd8"/>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205</vt:i4>
      </vt:variant>
    </vt:vector>
  </HeadingPairs>
  <TitlesOfParts>
    <vt:vector size="224" baseType="lpstr">
      <vt:lpstr>Cover Page</vt:lpstr>
      <vt:lpstr>Page 1</vt:lpstr>
      <vt:lpstr>Page 2</vt:lpstr>
      <vt:lpstr>Page 3</vt:lpstr>
      <vt:lpstr>Page 4</vt:lpstr>
      <vt:lpstr>Page 5</vt:lpstr>
      <vt:lpstr>Page 6</vt:lpstr>
      <vt:lpstr>Page 7</vt:lpstr>
      <vt:lpstr>Page 8</vt:lpstr>
      <vt:lpstr>Page 9</vt:lpstr>
      <vt:lpstr>Page 10</vt:lpstr>
      <vt:lpstr>Food Service</vt:lpstr>
      <vt:lpstr>Summary</vt:lpstr>
      <vt:lpstr>Reserve balance</vt:lpstr>
      <vt:lpstr>School listing</vt:lpstr>
      <vt:lpstr>Alerts</vt:lpstr>
      <vt:lpstr>Accounting data</vt:lpstr>
      <vt:lpstr>Calculations</vt:lpstr>
      <vt:lpstr>Instructions</vt:lpstr>
      <vt:lpstr>Account</vt:lpstr>
      <vt:lpstr>Accounting_Data_Tab</vt:lpstr>
      <vt:lpstr>ActualTotalFederalAndStateProjects</vt:lpstr>
      <vt:lpstr>ActualTotalInstImpExp</vt:lpstr>
      <vt:lpstr>AddlInstrImprProjEndBal</vt:lpstr>
      <vt:lpstr>AdjustedBeginningProjectBalance</vt:lpstr>
      <vt:lpstr>ALaCarte</vt:lpstr>
      <vt:lpstr>AllDisabilityClassifications</vt:lpstr>
      <vt:lpstr>ArizonaIndustryCredentialsIncentive</vt:lpstr>
      <vt:lpstr>AuditServices</vt:lpstr>
      <vt:lpstr>AverageTeacherSalary</vt:lpstr>
      <vt:lpstr>BegProjectBalances</vt:lpstr>
      <vt:lpstr>Breakfasts</vt:lpstr>
      <vt:lpstr>CapitalAcquisitions</vt:lpstr>
      <vt:lpstr>CapitalAcquisitionsLine5</vt:lpstr>
      <vt:lpstr>CashandInvestments</vt:lpstr>
      <vt:lpstr>CashBal</vt:lpstr>
      <vt:lpstr>CIP1072EndBal</vt:lpstr>
      <vt:lpstr>ClssrmSitepg3</vt:lpstr>
      <vt:lpstr>CSPEndBal</vt:lpstr>
      <vt:lpstr>CSPlines122615</vt:lpstr>
      <vt:lpstr>CSPlines4914</vt:lpstr>
      <vt:lpstr>CSPPropertyPayments</vt:lpstr>
      <vt:lpstr>CurrentExpensesByCategory</vt:lpstr>
      <vt:lpstr>CurrentExpensesbyCategoryLines7and8</vt:lpstr>
      <vt:lpstr>DebtService</vt:lpstr>
      <vt:lpstr>District_Name</vt:lpstr>
      <vt:lpstr>EXPENSES</vt:lpstr>
      <vt:lpstr>ExpensesPage2</vt:lpstr>
      <vt:lpstr>FederalAndStateProjectsAdjustedBeginningProjectBalance</vt:lpstr>
      <vt:lpstr>FederalAndStateProjectsPage2</vt:lpstr>
      <vt:lpstr>FederalAndStateProjectsPage9</vt:lpstr>
      <vt:lpstr>FederalAndStateProjectsPage9Line30</vt:lpstr>
      <vt:lpstr>Food_Service_1600</vt:lpstr>
      <vt:lpstr>FoodServiceGen</vt:lpstr>
      <vt:lpstr>FP11001130EndBal</vt:lpstr>
      <vt:lpstr>FP11401150EndBal</vt:lpstr>
      <vt:lpstr>FP1160EndBal</vt:lpstr>
      <vt:lpstr>FP11701180EndBal</vt:lpstr>
      <vt:lpstr>FP1190EndBal</vt:lpstr>
      <vt:lpstr>FP1200EndBal</vt:lpstr>
      <vt:lpstr>FP1210EndBal</vt:lpstr>
      <vt:lpstr>FP1220EndBal</vt:lpstr>
      <vt:lpstr>FP1230EndBal</vt:lpstr>
      <vt:lpstr>FP1240EndBal</vt:lpstr>
      <vt:lpstr>FP1250EndBal</vt:lpstr>
      <vt:lpstr>FP1260EndBal</vt:lpstr>
      <vt:lpstr>FP1280EndBal</vt:lpstr>
      <vt:lpstr>FP1290EndBal</vt:lpstr>
      <vt:lpstr>FP1300EndBal</vt:lpstr>
      <vt:lpstr>FP13101399EndBal</vt:lpstr>
      <vt:lpstr>FP13XXImpactAidEndBal</vt:lpstr>
      <vt:lpstr>FullTimeEquivalentTeachers</vt:lpstr>
      <vt:lpstr>GeneralInstructions</vt:lpstr>
      <vt:lpstr>GeneralPage1</vt:lpstr>
      <vt:lpstr>GeneralPage10</vt:lpstr>
      <vt:lpstr>ImpactAidandOtherFederalProjects</vt:lpstr>
      <vt:lpstr>InvestmentInCapitalAssets</vt:lpstr>
      <vt:lpstr>InvestmentInCapitalAssetsLine5</vt:lpstr>
      <vt:lpstr>LongandShortTermDebt</vt:lpstr>
      <vt:lpstr>LunchesSuppers</vt:lpstr>
      <vt:lpstr>NameCountyCTDSNumber</vt:lpstr>
      <vt:lpstr>Page10DebtServiceDetail</vt:lpstr>
      <vt:lpstr>Page10FY20to23Exp</vt:lpstr>
      <vt:lpstr>Page10FY24Exp</vt:lpstr>
      <vt:lpstr>Page10General</vt:lpstr>
      <vt:lpstr>Page10OtherLine</vt:lpstr>
      <vt:lpstr>Page10PPP</vt:lpstr>
      <vt:lpstr>Page10projects</vt:lpstr>
      <vt:lpstr>Page10ProjectsLine1</vt:lpstr>
      <vt:lpstr>Page10ProjectsLine2</vt:lpstr>
      <vt:lpstr>Page10ProjectsLine3</vt:lpstr>
      <vt:lpstr>Page10ProjectsLine4</vt:lpstr>
      <vt:lpstr>Page10ProjectsLine5</vt:lpstr>
      <vt:lpstr>Page10ProjectsLine6</vt:lpstr>
      <vt:lpstr>Page10PropertyDisbursement</vt:lpstr>
      <vt:lpstr>Page10PropertyDisbursementDetail</vt:lpstr>
      <vt:lpstr>Page10Remaining</vt:lpstr>
      <vt:lpstr>Page10TechDetail</vt:lpstr>
      <vt:lpstr>Page10TechDetailLine7</vt:lpstr>
      <vt:lpstr>Page10TotalAward</vt:lpstr>
      <vt:lpstr>Page3AdjBeginProjBal</vt:lpstr>
      <vt:lpstr>Page4AdjBeginProjBal</vt:lpstr>
      <vt:lpstr>Page5AdjBeginProjBal</vt:lpstr>
      <vt:lpstr>'Accounting data'!Print_Area</vt:lpstr>
      <vt:lpstr>Alerts!Print_Area</vt:lpstr>
      <vt:lpstr>'Cover Page'!Print_Area</vt:lpstr>
      <vt:lpstr>'Food Service'!Print_Area</vt:lpstr>
      <vt:lpstr>Instructions!Print_Area</vt:lpstr>
      <vt:lpstr>'Page 1'!Print_Area</vt:lpstr>
      <vt:lpstr>'Page 10'!Print_Area</vt:lpstr>
      <vt:lpstr>'Page 2'!Print_Area</vt:lpstr>
      <vt:lpstr>'Page 3'!Print_Area</vt:lpstr>
      <vt:lpstr>'Page 4'!Print_Area</vt:lpstr>
      <vt:lpstr>'Page 6'!Print_Area</vt:lpstr>
      <vt:lpstr>'Page 7'!Print_Area</vt:lpstr>
      <vt:lpstr>'Page 8'!Print_Area</vt:lpstr>
      <vt:lpstr>'Page 9'!Print_Area</vt:lpstr>
      <vt:lpstr>'Reserve balance'!Print_Area</vt:lpstr>
      <vt:lpstr>Summary!Print_Area</vt:lpstr>
      <vt:lpstr>PriorYearSalary</vt:lpstr>
      <vt:lpstr>PropertyDisbursements</vt:lpstr>
      <vt:lpstr>PropertyDisbursementsByType</vt:lpstr>
      <vt:lpstr>ReserveBalSecA</vt:lpstr>
      <vt:lpstr>ReserveBalSecAl1</vt:lpstr>
      <vt:lpstr>ReserveBalSecAl2</vt:lpstr>
      <vt:lpstr>ReserveBalSecAl3</vt:lpstr>
      <vt:lpstr>ReserveBalSecAl3a</vt:lpstr>
      <vt:lpstr>ReserveBalSecAl3b</vt:lpstr>
      <vt:lpstr>ReserveBalSecAl3c</vt:lpstr>
      <vt:lpstr>ReserveBalSecAl3d</vt:lpstr>
      <vt:lpstr>ReserveBalSecAl3e</vt:lpstr>
      <vt:lpstr>ReserveBalSecAl3f</vt:lpstr>
      <vt:lpstr>ReserveBalSecAl3g</vt:lpstr>
      <vt:lpstr>ReserveBalSecB</vt:lpstr>
      <vt:lpstr>ReserveBalSecBl4</vt:lpstr>
      <vt:lpstr>ReserveBalSecBl5</vt:lpstr>
      <vt:lpstr>Restricted3200</vt:lpstr>
      <vt:lpstr>Revenue_From_Selected_Federal_Sources</vt:lpstr>
      <vt:lpstr>REVENUES</vt:lpstr>
      <vt:lpstr>School_Listing_Tab</vt:lpstr>
      <vt:lpstr>SchoolwideEndBal</vt:lpstr>
      <vt:lpstr>Section_C_Transportation</vt:lpstr>
      <vt:lpstr>SectionA</vt:lpstr>
      <vt:lpstr>SectionB</vt:lpstr>
      <vt:lpstr>SectionC</vt:lpstr>
      <vt:lpstr>SectionD</vt:lpstr>
      <vt:lpstr>SectionE</vt:lpstr>
      <vt:lpstr>SectionF</vt:lpstr>
      <vt:lpstr>SectionG</vt:lpstr>
      <vt:lpstr>SEIP1071EndBal</vt:lpstr>
      <vt:lpstr>Snacks</vt:lpstr>
      <vt:lpstr>SP1000ClassSiteProj</vt:lpstr>
      <vt:lpstr>SP1000CompInstrProj</vt:lpstr>
      <vt:lpstr>SP1000FedStProj</vt:lpstr>
      <vt:lpstr>SP1000InstrImpProj</vt:lpstr>
      <vt:lpstr>SP1000P100F1000</vt:lpstr>
      <vt:lpstr>SP1000P100F2100</vt:lpstr>
      <vt:lpstr>SP1000P100F2200</vt:lpstr>
      <vt:lpstr>SP1000P100F2300</vt:lpstr>
      <vt:lpstr>SP1000P100F2400</vt:lpstr>
      <vt:lpstr>SP1000P100F2500</vt:lpstr>
      <vt:lpstr>SP1000P100F2600</vt:lpstr>
      <vt:lpstr>SP1000P100F2900</vt:lpstr>
      <vt:lpstr>SP1000P100F3000</vt:lpstr>
      <vt:lpstr>SP1000P100F4000</vt:lpstr>
      <vt:lpstr>SP1000P100F5000</vt:lpstr>
      <vt:lpstr>SP1000P200F1000</vt:lpstr>
      <vt:lpstr>SP1000P200F2100</vt:lpstr>
      <vt:lpstr>SP1000P200F2200</vt:lpstr>
      <vt:lpstr>SP1000P200F2300</vt:lpstr>
      <vt:lpstr>SP1000P200F2400</vt:lpstr>
      <vt:lpstr>SP1000P200F2500</vt:lpstr>
      <vt:lpstr>SP1000P200F2600</vt:lpstr>
      <vt:lpstr>SP1000P200F2900</vt:lpstr>
      <vt:lpstr>SP1000P200F3000</vt:lpstr>
      <vt:lpstr>SP1000P200F4000</vt:lpstr>
      <vt:lpstr>SP1000P200F5000</vt:lpstr>
      <vt:lpstr>SP1000P400</vt:lpstr>
      <vt:lpstr>SP1000P530</vt:lpstr>
      <vt:lpstr>SP1000P540</vt:lpstr>
      <vt:lpstr>SP1000P550</vt:lpstr>
      <vt:lpstr>SP1000P610</vt:lpstr>
      <vt:lpstr>SP1000P620</vt:lpstr>
      <vt:lpstr>SP1000P630700800900</vt:lpstr>
      <vt:lpstr>SP1000StruEngImmProj</vt:lpstr>
      <vt:lpstr>SpecialEdProgramsByType</vt:lpstr>
      <vt:lpstr>StP1400EndBal</vt:lpstr>
      <vt:lpstr>StP1410EndBal</vt:lpstr>
      <vt:lpstr>StP1420EndBal</vt:lpstr>
      <vt:lpstr>StP1425EndBal</vt:lpstr>
      <vt:lpstr>StP1430EndBal</vt:lpstr>
      <vt:lpstr>StP1435EndBal</vt:lpstr>
      <vt:lpstr>StP1450EndBal</vt:lpstr>
      <vt:lpstr>StP1456EndBal</vt:lpstr>
      <vt:lpstr>StP1460EndBal</vt:lpstr>
      <vt:lpstr>StP1465EndBal</vt:lpstr>
      <vt:lpstr>StP14701499EndBal</vt:lpstr>
      <vt:lpstr>StP14XXEndBal</vt:lpstr>
      <vt:lpstr>SumADM</vt:lpstr>
      <vt:lpstr>SumGen</vt:lpstr>
      <vt:lpstr>SupportServicesInstructionDetail</vt:lpstr>
      <vt:lpstr>TeacherSalaries</vt:lpstr>
      <vt:lpstr>TeacherSalariesLine1</vt:lpstr>
      <vt:lpstr>TeacherSalariesLine2</vt:lpstr>
      <vt:lpstr>TeacherSalariesLine3</vt:lpstr>
      <vt:lpstr>TeacherSalariesLine4</vt:lpstr>
      <vt:lpstr>TeacherSalariesLine5</vt:lpstr>
      <vt:lpstr>TechnologyDetail</vt:lpstr>
      <vt:lpstr>TotalActualGiftedExpenses</vt:lpstr>
      <vt:lpstr>TotalCIP6100</vt:lpstr>
      <vt:lpstr>TotalCIP6200</vt:lpstr>
      <vt:lpstr>TotalCIP630064006500</vt:lpstr>
      <vt:lpstr>TotalCIP6600</vt:lpstr>
      <vt:lpstr>TotalCIP6800</vt:lpstr>
      <vt:lpstr>TotalSEIP6100</vt:lpstr>
      <vt:lpstr>TotalSEIP6200</vt:lpstr>
      <vt:lpstr>TotalSEIP630064006500</vt:lpstr>
      <vt:lpstr>TotalSEIP6600</vt:lpstr>
      <vt:lpstr>TotalSEIP6800</vt:lpstr>
      <vt:lpstr>TotExpSchoolwide</vt:lpstr>
      <vt:lpstr>Unrestricted_Restricted_4100_4300</vt:lpstr>
      <vt:lpstr>Unrestricted_Restricted_4200_4500</vt:lpstr>
      <vt:lpstr>UtilitiesandEnergyServices</vt:lpstr>
      <vt:lpstr>websitelink</vt:lpstr>
    </vt:vector>
  </TitlesOfParts>
  <Manager/>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subject/>
  <dc:creator>AZ Auditor General</dc:creator>
  <cp:keywords/>
  <dc:description/>
  <cp:lastModifiedBy>Petersen, Serena</cp:lastModifiedBy>
  <cp:lastPrinted>2025-10-15T15:38:17Z</cp:lastPrinted>
  <dcterms:created xsi:type="dcterms:W3CDTF">1997-10-09T09:56:13Z</dcterms:created>
  <dcterms:modified xsi:type="dcterms:W3CDTF">2025-10-15T16:05:15Z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0x01010011E11B9217455B40B8FBB9893A94134E</vt:lpwstr>
  </property>
  <property fmtid="{D5CDD505-2E9C-101B-9397-08002B2CF9AE}" pid="7" name="MediaServiceImageTags">
    <vt:lpwstr/>
  </property>
  <property fmtid="{D5CDD505-2E9C-101B-9397-08002B2CF9AE}" pid="8" name="ADEGUID">
    <vt:lpwstr>2FA88DA1-0A61-4956-8BBE-A52B9F9C88BB</vt:lpwstr>
  </property>
</Properties>
</file>